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2506C834-1192-4D3D-B7AE-B54C9904EA77}" xr6:coauthVersionLast="47" xr6:coauthVersionMax="47" xr10:uidLastSave="{00000000-0000-0000-0000-000000000000}"/>
  <bookViews>
    <workbookView xWindow="-108" yWindow="-108" windowWidth="23256" windowHeight="12456" tabRatio="855" xr2:uid="{083D31B1-59B8-45E1-B4AD-BE96FE1328EB}"/>
  </bookViews>
  <sheets>
    <sheet name="Revenue Requirement" sheetId="1" r:id="rId1"/>
    <sheet name="Cost of Capital" sheetId="2" r:id="rId2"/>
    <sheet name="Resources" sheetId="13" r:id="rId3"/>
    <sheet name="Depreciation" sheetId="3" r:id="rId4"/>
    <sheet name="O&amp;M Expenses" sheetId="5" r:id="rId5"/>
    <sheet name="Taxes" sheetId="4" r:id="rId6"/>
    <sheet name="Income Statement" sheetId="11" r:id="rId7"/>
  </sheets>
  <definedNames>
    <definedName name="\A">#REF!</definedName>
    <definedName name="__CHG1">#REF!</definedName>
    <definedName name="__CHG2">#REF!</definedName>
    <definedName name="__DEP2">#REF!</definedName>
    <definedName name="__DEP3">#REF!</definedName>
    <definedName name="__DEP4">#REF!</definedName>
    <definedName name="__DEP5">#REF!</definedName>
    <definedName name="__DIS1">#REF!</definedName>
    <definedName name="__DIS2">#REF!</definedName>
    <definedName name="__RET1">#REF!</definedName>
    <definedName name="__RET2">#REF!</definedName>
    <definedName name="__SCH1">#REF!</definedName>
    <definedName name="__SCH2">#REF!</definedName>
    <definedName name="__SCH3">#REF!</definedName>
    <definedName name="__SCH4">#REF!</definedName>
    <definedName name="__SCH5">#REF!</definedName>
    <definedName name="__TFR1">#REF!</definedName>
    <definedName name="__TFR2">#REF!</definedName>
    <definedName name="_Fill" hidden="1">#REF!</definedName>
    <definedName name="_Order1" hidden="1">255</definedName>
    <definedName name="_Order2" hidden="1">255</definedName>
    <definedName name="_Sort" hidden="1">#REF!</definedName>
    <definedName name="ACC">#REF!</definedName>
    <definedName name="DEP">#REF!</definedName>
    <definedName name="HC">#REF!</definedName>
    <definedName name="HCD">#REF!</definedName>
    <definedName name="HCDN">#REF!</definedName>
    <definedName name="HCN">#REF!</definedName>
    <definedName name="LSD_D12___BUILDING">#REF!</definedName>
    <definedName name="LSD_D12___EQUIPMENT">#REF!</definedName>
    <definedName name="LSD_D13___BUILDING">#REF!</definedName>
    <definedName name="LSD_D13___EQUIPMENT">#REF!</definedName>
    <definedName name="LSD_D14___D15___BUILDING">#REF!</definedName>
    <definedName name="LSD_D14___D15___EQUIPMENT">#REF!</definedName>
    <definedName name="NvsASD">"V2009-12-31"</definedName>
    <definedName name="NvsAutoDrillOk">"VN"</definedName>
    <definedName name="NvsElapsedTime">0.0000347222157870419</definedName>
    <definedName name="NvsEndTime">40170.5304282407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"%,X,RZF.PROJECT_ID.,CZF.."</definedName>
    <definedName name="NvsPanelBusUnit">"VBLPC1"</definedName>
    <definedName name="NvsPanelEffdt">"V1900-01-01"</definedName>
    <definedName name="NvsPanelSetid">"VSHARE"</definedName>
    <definedName name="NvsReqBU">"VBLPC1"</definedName>
    <definedName name="NvsReqBUOnly">"VY"</definedName>
    <definedName name="NvsTransLed">"VN"</definedName>
    <definedName name="NvsTreeASD">"V2009-12-31"</definedName>
    <definedName name="NvsValTbl.ACCOUNT">"GL_ACCOUNT_TBL"</definedName>
    <definedName name="NvsValTbl.DEPTID">"DEPARTMENT_TBL"</definedName>
    <definedName name="NvsValTbl.PRODUCT">"PRODUCT_TBL"</definedName>
    <definedName name="NvsValTbl.PROJECT_ID">"PROJECT"</definedName>
    <definedName name="NvsValTbl.SCENARIO">"BD_SCENARIO_TBL"</definedName>
    <definedName name="O_STK">#REF!</definedName>
    <definedName name="PRICES">#REF!</definedName>
    <definedName name="RATE1">#REF!</definedName>
    <definedName name="RATE2">#REF!</definedName>
    <definedName name="REC">#REF!</definedName>
    <definedName name="STK">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1" l="1"/>
  <c r="A2" i="11"/>
  <c r="A3" i="4"/>
  <c r="A2" i="4"/>
  <c r="A3" i="5"/>
  <c r="A2" i="5"/>
  <c r="A3" i="2"/>
  <c r="A2" i="2"/>
  <c r="A3" i="3"/>
  <c r="A2" i="3"/>
  <c r="H3" i="13"/>
  <c r="H2" i="13"/>
  <c r="B15" i="11"/>
  <c r="D15" i="11"/>
  <c r="F15" i="11"/>
  <c r="F18" i="11" s="1"/>
  <c r="B16" i="11"/>
  <c r="D16" i="11"/>
  <c r="F16" i="11"/>
  <c r="B17" i="11"/>
  <c r="D17" i="11"/>
  <c r="F17" i="11"/>
  <c r="B18" i="11"/>
  <c r="D18" i="11"/>
  <c r="B23" i="11"/>
  <c r="D23" i="11"/>
  <c r="F23" i="11"/>
  <c r="B25" i="11"/>
  <c r="D25" i="11"/>
  <c r="F25" i="11"/>
  <c r="D40" i="3" l="1"/>
  <c r="F40" i="3" s="1"/>
  <c r="F30" i="13" s="1"/>
  <c r="D39" i="3"/>
  <c r="T20" i="13"/>
  <c r="R20" i="13"/>
  <c r="T16" i="13"/>
  <c r="R16" i="13"/>
  <c r="T14" i="13"/>
  <c r="R14" i="13"/>
  <c r="T13" i="13"/>
  <c r="R13" i="13"/>
  <c r="T12" i="13"/>
  <c r="R12" i="13"/>
  <c r="T19" i="13"/>
  <c r="R19" i="13"/>
  <c r="T18" i="13"/>
  <c r="R18" i="13"/>
  <c r="T17" i="13"/>
  <c r="R17" i="13"/>
  <c r="T15" i="13"/>
  <c r="R15" i="13"/>
  <c r="T10" i="13"/>
  <c r="R10" i="13"/>
  <c r="F21" i="3"/>
  <c r="F22" i="13" s="1"/>
  <c r="F20" i="3"/>
  <c r="F21" i="13" s="1"/>
  <c r="F8" i="3"/>
  <c r="F9" i="13" s="1"/>
  <c r="D24" i="3"/>
  <c r="F24" i="3" s="1"/>
  <c r="F25" i="13" s="1"/>
  <c r="D23" i="3"/>
  <c r="F23" i="3" s="1"/>
  <c r="F24" i="13" s="1"/>
  <c r="D22" i="3"/>
  <c r="F22" i="3" s="1"/>
  <c r="F23" i="13" s="1"/>
  <c r="D21" i="3"/>
  <c r="D20" i="3"/>
  <c r="D19" i="3"/>
  <c r="F19" i="3" s="1"/>
  <c r="F20" i="13" s="1"/>
  <c r="D18" i="3"/>
  <c r="F18" i="3" s="1"/>
  <c r="F19" i="13" s="1"/>
  <c r="D17" i="3"/>
  <c r="F17" i="3" s="1"/>
  <c r="F18" i="13" s="1"/>
  <c r="D16" i="3"/>
  <c r="F16" i="3" s="1"/>
  <c r="F17" i="13" s="1"/>
  <c r="D15" i="3"/>
  <c r="F15" i="3" s="1"/>
  <c r="F16" i="13" s="1"/>
  <c r="D14" i="3"/>
  <c r="F14" i="3" s="1"/>
  <c r="F15" i="13" s="1"/>
  <c r="D13" i="3"/>
  <c r="F13" i="3" s="1"/>
  <c r="F14" i="13" s="1"/>
  <c r="D12" i="3"/>
  <c r="F12" i="3" s="1"/>
  <c r="F13" i="13" s="1"/>
  <c r="D11" i="3"/>
  <c r="F11" i="3" s="1"/>
  <c r="F12" i="13" s="1"/>
  <c r="D10" i="3"/>
  <c r="F10" i="3" s="1"/>
  <c r="F11" i="13" s="1"/>
  <c r="D9" i="3"/>
  <c r="F9" i="3" s="1"/>
  <c r="F10" i="13" s="1"/>
  <c r="D8" i="3"/>
  <c r="D7" i="3"/>
  <c r="F7" i="3" s="1"/>
  <c r="C36" i="2"/>
  <c r="F8" i="13" l="1"/>
  <c r="F25" i="3"/>
  <c r="D38" i="2"/>
  <c r="W33" i="13" l="1"/>
  <c r="W31" i="13"/>
  <c r="W27" i="13"/>
  <c r="H27" i="13" l="1"/>
  <c r="S27" i="13"/>
  <c r="R33" i="13"/>
  <c r="R31" i="13" l="1"/>
  <c r="O31" i="13"/>
  <c r="I29" i="13"/>
  <c r="S53" i="4"/>
  <c r="P53" i="4"/>
  <c r="M53" i="4"/>
  <c r="P43" i="4"/>
  <c r="M43" i="4"/>
  <c r="T36" i="4"/>
  <c r="Q36" i="4"/>
  <c r="T46" i="4"/>
  <c r="Q46" i="4"/>
  <c r="N48" i="4"/>
  <c r="G23" i="5"/>
  <c r="G24" i="5"/>
  <c r="G25" i="5"/>
  <c r="G26" i="5"/>
  <c r="G22" i="5"/>
  <c r="H21" i="5"/>
  <c r="H20" i="5"/>
  <c r="G19" i="5"/>
  <c r="F16" i="5"/>
  <c r="F27" i="5" s="1"/>
  <c r="H15" i="5"/>
  <c r="F12" i="5"/>
  <c r="F13" i="5"/>
  <c r="F14" i="5"/>
  <c r="F11" i="5"/>
  <c r="F9" i="5"/>
  <c r="I48" i="3"/>
  <c r="I41" i="3"/>
  <c r="I49" i="3" s="1"/>
  <c r="Q48" i="4"/>
  <c r="T37" i="4"/>
  <c r="T47" i="4" s="1"/>
  <c r="J48" i="3"/>
  <c r="D28" i="1" l="1"/>
  <c r="I50" i="3"/>
  <c r="P31" i="13"/>
  <c r="I30" i="13"/>
  <c r="I31" i="13" l="1"/>
  <c r="J41" i="3" l="1"/>
  <c r="J49" i="3" s="1"/>
  <c r="J50" i="3" s="1"/>
  <c r="E39" i="3"/>
  <c r="E41" i="3" l="1"/>
  <c r="F39" i="3"/>
  <c r="H18" i="5"/>
  <c r="H27" i="5" s="1"/>
  <c r="H28" i="1" s="1"/>
  <c r="G10" i="5"/>
  <c r="G8" i="5"/>
  <c r="G27" i="5" s="1"/>
  <c r="O27" i="13"/>
  <c r="F29" i="13" l="1"/>
  <c r="F41" i="3"/>
  <c r="R27" i="13"/>
  <c r="F28" i="1"/>
  <c r="O33" i="13" l="1"/>
  <c r="E31" i="13"/>
  <c r="E27" i="13"/>
  <c r="D27" i="13"/>
  <c r="D27" i="5" l="1"/>
  <c r="E25" i="3" l="1"/>
  <c r="C35" i="2"/>
  <c r="B32" i="2"/>
  <c r="D28" i="2"/>
  <c r="D32" i="2" s="1"/>
  <c r="D40" i="2" s="1"/>
  <c r="E36" i="2" s="1"/>
  <c r="F36" i="2" s="1"/>
  <c r="E25" i="2" l="1"/>
  <c r="E21" i="2"/>
  <c r="E37" i="2"/>
  <c r="E24" i="2"/>
  <c r="E27" i="2"/>
  <c r="E22" i="2"/>
  <c r="E23" i="2"/>
  <c r="E26" i="2"/>
  <c r="E31" i="2"/>
  <c r="E30" i="2"/>
  <c r="E35" i="2"/>
  <c r="E29" i="3"/>
  <c r="E34" i="3" s="1"/>
  <c r="E40" i="2" l="1"/>
  <c r="F37" i="2" l="1"/>
  <c r="F27" i="2"/>
  <c r="F30" i="2"/>
  <c r="F31" i="2"/>
  <c r="F24" i="2"/>
  <c r="F23" i="2"/>
  <c r="F25" i="2"/>
  <c r="F26" i="2"/>
  <c r="F22" i="2"/>
  <c r="F35" i="2"/>
  <c r="F21" i="2" l="1"/>
  <c r="F40" i="2" s="1"/>
  <c r="B10" i="2" s="1"/>
  <c r="D10" i="2" s="1"/>
  <c r="D9" i="2" l="1"/>
  <c r="D12" i="2" s="1"/>
  <c r="D23" i="1" l="1"/>
  <c r="G30" i="13"/>
  <c r="G40" i="3"/>
  <c r="K40" i="3" s="1"/>
  <c r="G20" i="3"/>
  <c r="G11" i="13"/>
  <c r="G23" i="13"/>
  <c r="G22" i="3"/>
  <c r="J22" i="3" s="1"/>
  <c r="G25" i="13"/>
  <c r="G21" i="3"/>
  <c r="J21" i="3" s="1"/>
  <c r="G12" i="13"/>
  <c r="P12" i="13" s="1"/>
  <c r="G24" i="13"/>
  <c r="G13" i="13"/>
  <c r="G16" i="13"/>
  <c r="G9" i="13"/>
  <c r="G10" i="13"/>
  <c r="H23" i="1"/>
  <c r="G23" i="3"/>
  <c r="J23" i="3" s="1"/>
  <c r="G14" i="13"/>
  <c r="G19" i="3"/>
  <c r="K19" i="3" s="1"/>
  <c r="F23" i="1"/>
  <c r="G24" i="3"/>
  <c r="J24" i="3" s="1"/>
  <c r="G15" i="13"/>
  <c r="G22" i="13"/>
  <c r="G17" i="13"/>
  <c r="G18" i="13"/>
  <c r="G18" i="3"/>
  <c r="K18" i="3" s="1"/>
  <c r="G16" i="3"/>
  <c r="K16" i="3" s="1"/>
  <c r="G19" i="13"/>
  <c r="G17" i="3"/>
  <c r="J17" i="3" s="1"/>
  <c r="G20" i="13"/>
  <c r="G21" i="13"/>
  <c r="J20" i="3" l="1"/>
  <c r="I12" i="13"/>
  <c r="K12" i="13" s="1"/>
  <c r="M12" i="13" s="1"/>
  <c r="P10" i="13"/>
  <c r="I10" i="13" s="1"/>
  <c r="K10" i="13" s="1"/>
  <c r="M10" i="13" s="1"/>
  <c r="P23" i="13"/>
  <c r="I23" i="13" s="1"/>
  <c r="K23" i="13" s="1"/>
  <c r="M23" i="13" s="1"/>
  <c r="P17" i="13"/>
  <c r="I17" i="13" s="1"/>
  <c r="K17" i="13" s="1"/>
  <c r="M17" i="13" s="1"/>
  <c r="P25" i="13"/>
  <c r="I25" i="13" s="1"/>
  <c r="K25" i="13" s="1"/>
  <c r="M25" i="13" s="1"/>
  <c r="P11" i="13"/>
  <c r="P24" i="13"/>
  <c r="I24" i="13" s="1"/>
  <c r="K24" i="13" s="1"/>
  <c r="M24" i="13" s="1"/>
  <c r="P14" i="13"/>
  <c r="I14" i="13" s="1"/>
  <c r="K14" i="13" s="1"/>
  <c r="M14" i="13" s="1"/>
  <c r="P15" i="13"/>
  <c r="P16" i="13"/>
  <c r="I16" i="13" s="1"/>
  <c r="K16" i="13" s="1"/>
  <c r="M16" i="13" s="1"/>
  <c r="P19" i="13"/>
  <c r="I19" i="13" s="1"/>
  <c r="K19" i="13" s="1"/>
  <c r="M19" i="13" s="1"/>
  <c r="P13" i="13"/>
  <c r="I13" i="13" s="1"/>
  <c r="K13" i="13" s="1"/>
  <c r="M13" i="13" s="1"/>
  <c r="P18" i="13"/>
  <c r="I18" i="13" s="1"/>
  <c r="K18" i="13" s="1"/>
  <c r="M18" i="13" s="1"/>
  <c r="P22" i="13"/>
  <c r="I22" i="13" s="1"/>
  <c r="K22" i="13" s="1"/>
  <c r="M22" i="13" s="1"/>
  <c r="P21" i="13"/>
  <c r="P20" i="13"/>
  <c r="I20" i="13" s="1"/>
  <c r="K20" i="13" s="1"/>
  <c r="M20" i="13" s="1"/>
  <c r="P9" i="13"/>
  <c r="I9" i="13" s="1"/>
  <c r="K9" i="13" s="1"/>
  <c r="M9" i="13" s="1"/>
  <c r="G39" i="3"/>
  <c r="G41" i="3" s="1"/>
  <c r="S13" i="4"/>
  <c r="K49" i="3"/>
  <c r="G29" i="13"/>
  <c r="F31" i="13"/>
  <c r="G15" i="3"/>
  <c r="I15" i="3" s="1"/>
  <c r="G9" i="3"/>
  <c r="J9" i="3" s="1"/>
  <c r="G14" i="3"/>
  <c r="K14" i="3" s="1"/>
  <c r="G11" i="3"/>
  <c r="I11" i="3" s="1"/>
  <c r="G12" i="3"/>
  <c r="I12" i="3" s="1"/>
  <c r="G13" i="3"/>
  <c r="I13" i="3" s="1"/>
  <c r="G10" i="3"/>
  <c r="I10" i="3" s="1"/>
  <c r="G8" i="3"/>
  <c r="I8" i="3" s="1"/>
  <c r="G8" i="13"/>
  <c r="F27" i="13"/>
  <c r="Q18" i="13"/>
  <c r="Q23" i="13"/>
  <c r="Q12" i="13"/>
  <c r="Q17" i="13"/>
  <c r="Q22" i="13"/>
  <c r="Q15" i="13"/>
  <c r="Q11" i="13"/>
  <c r="Q10" i="13"/>
  <c r="Q20" i="13"/>
  <c r="Q16" i="13"/>
  <c r="Q24" i="13"/>
  <c r="Q14" i="13"/>
  <c r="F29" i="3"/>
  <c r="F34" i="3" s="1"/>
  <c r="G7" i="3"/>
  <c r="Q25" i="13"/>
  <c r="Q21" i="13"/>
  <c r="Q9" i="13"/>
  <c r="Q19" i="13"/>
  <c r="Q13" i="13"/>
  <c r="I15" i="13" l="1"/>
  <c r="K15" i="13" s="1"/>
  <c r="M15" i="13" s="1"/>
  <c r="H30" i="1"/>
  <c r="H19" i="1" s="1"/>
  <c r="D30" i="1"/>
  <c r="I21" i="13"/>
  <c r="K21" i="13" s="1"/>
  <c r="M21" i="13" s="1"/>
  <c r="I11" i="13"/>
  <c r="P8" i="13"/>
  <c r="K25" i="3"/>
  <c r="K29" i="3" s="1"/>
  <c r="K34" i="3" s="1"/>
  <c r="Q30" i="13"/>
  <c r="G31" i="13"/>
  <c r="I25" i="3"/>
  <c r="D10" i="1" s="1"/>
  <c r="S27" i="4"/>
  <c r="T27" i="4" s="1"/>
  <c r="T41" i="4" s="1"/>
  <c r="T13" i="4"/>
  <c r="K39" i="3"/>
  <c r="J7" i="3"/>
  <c r="G25" i="3"/>
  <c r="Q8" i="13"/>
  <c r="G27" i="13"/>
  <c r="F30" i="1" l="1"/>
  <c r="F19" i="1" s="1"/>
  <c r="S10" i="4"/>
  <c r="P27" i="13"/>
  <c r="I8" i="13"/>
  <c r="J25" i="3"/>
  <c r="P9" i="4" s="1"/>
  <c r="D19" i="1"/>
  <c r="K11" i="13"/>
  <c r="M11" i="13" s="1"/>
  <c r="G33" i="13"/>
  <c r="T10" i="4"/>
  <c r="S24" i="4"/>
  <c r="T24" i="4" s="1"/>
  <c r="T38" i="4" s="1"/>
  <c r="T48" i="4" s="1"/>
  <c r="D12" i="1"/>
  <c r="M8" i="4"/>
  <c r="I29" i="3"/>
  <c r="I34" i="3" s="1"/>
  <c r="S12" i="4"/>
  <c r="K48" i="3"/>
  <c r="K41" i="3"/>
  <c r="H10" i="1" s="1"/>
  <c r="H12" i="1" s="1"/>
  <c r="T51" i="4"/>
  <c r="G29" i="3"/>
  <c r="G34" i="3" s="1"/>
  <c r="Q27" i="13"/>
  <c r="P23" i="4" l="1"/>
  <c r="P16" i="4"/>
  <c r="Q9" i="4"/>
  <c r="I27" i="13"/>
  <c r="K8" i="13"/>
  <c r="P33" i="13"/>
  <c r="F10" i="1"/>
  <c r="F12" i="1" s="1"/>
  <c r="Q29" i="13"/>
  <c r="B13" i="4"/>
  <c r="B34" i="4"/>
  <c r="D29" i="1"/>
  <c r="K50" i="3"/>
  <c r="N8" i="4"/>
  <c r="N16" i="4" s="1"/>
  <c r="M22" i="4"/>
  <c r="M16" i="4"/>
  <c r="S26" i="4"/>
  <c r="T12" i="4"/>
  <c r="T16" i="4" s="1"/>
  <c r="S16" i="4"/>
  <c r="Q23" i="4"/>
  <c r="Q37" i="4" s="1"/>
  <c r="J29" i="3"/>
  <c r="J34" i="3" s="1"/>
  <c r="S31" i="13" l="1"/>
  <c r="M8" i="13"/>
  <c r="M27" i="13" s="1"/>
  <c r="K27" i="13"/>
  <c r="T26" i="4"/>
  <c r="T40" i="4" s="1"/>
  <c r="S29" i="4"/>
  <c r="F17" i="4"/>
  <c r="F31" i="4"/>
  <c r="N22" i="4"/>
  <c r="M29" i="4"/>
  <c r="Q31" i="13"/>
  <c r="B31" i="4"/>
  <c r="B36" i="4" s="1"/>
  <c r="B17" i="4"/>
  <c r="F13" i="4"/>
  <c r="H29" i="1"/>
  <c r="F34" i="4"/>
  <c r="F29" i="1"/>
  <c r="D13" i="4"/>
  <c r="D34" i="4"/>
  <c r="Q33" i="13"/>
  <c r="Q47" i="4"/>
  <c r="Q53" i="4" s="1"/>
  <c r="Q43" i="4"/>
  <c r="N37" i="4"/>
  <c r="P29" i="4"/>
  <c r="Q16" i="4"/>
  <c r="K30" i="13" l="1"/>
  <c r="M30" i="13" s="1"/>
  <c r="N36" i="4"/>
  <c r="N46" i="4" s="1"/>
  <c r="N29" i="4"/>
  <c r="B18" i="4" s="1"/>
  <c r="B40" i="4"/>
  <c r="B41" i="4" s="1"/>
  <c r="D16" i="1" s="1"/>
  <c r="T29" i="4"/>
  <c r="F18" i="4" s="1"/>
  <c r="D31" i="4"/>
  <c r="D36" i="4" s="1"/>
  <c r="D40" i="4" s="1"/>
  <c r="D41" i="4" s="1"/>
  <c r="F16" i="1" s="1"/>
  <c r="F21" i="1" s="1"/>
  <c r="D17" i="4"/>
  <c r="N47" i="4"/>
  <c r="Q57" i="4"/>
  <c r="Q29" i="4"/>
  <c r="D18" i="4" s="1"/>
  <c r="D21" i="1" l="1"/>
  <c r="F25" i="1"/>
  <c r="H31" i="13"/>
  <c r="K29" i="13"/>
  <c r="U11" i="13"/>
  <c r="V11" i="13" s="1"/>
  <c r="U29" i="13"/>
  <c r="T50" i="4"/>
  <c r="T53" i="4" s="1"/>
  <c r="T43" i="4"/>
  <c r="N53" i="4"/>
  <c r="N43" i="4"/>
  <c r="N57" i="4" s="1"/>
  <c r="F35" i="1"/>
  <c r="U23" i="13" l="1"/>
  <c r="V23" i="13" s="1"/>
  <c r="X23" i="13" s="1"/>
  <c r="U24" i="13"/>
  <c r="V24" i="13" s="1"/>
  <c r="X24" i="13" s="1"/>
  <c r="U25" i="13"/>
  <c r="V25" i="13" s="1"/>
  <c r="X25" i="13" s="1"/>
  <c r="U30" i="13"/>
  <c r="V30" i="13" s="1"/>
  <c r="X30" i="13" s="1"/>
  <c r="T57" i="4"/>
  <c r="T58" i="4" s="1"/>
  <c r="X11" i="13"/>
  <c r="U14" i="13"/>
  <c r="V14" i="13" s="1"/>
  <c r="X14" i="13" s="1"/>
  <c r="U21" i="13"/>
  <c r="V21" i="13" s="1"/>
  <c r="X21" i="13" s="1"/>
  <c r="D25" i="1"/>
  <c r="U16" i="13"/>
  <c r="V16" i="13" s="1"/>
  <c r="X16" i="13" s="1"/>
  <c r="U22" i="13"/>
  <c r="V22" i="13" s="1"/>
  <c r="X22" i="13" s="1"/>
  <c r="U12" i="13"/>
  <c r="V12" i="13" s="1"/>
  <c r="X12" i="13" s="1"/>
  <c r="K31" i="13"/>
  <c r="M29" i="13"/>
  <c r="M31" i="13" s="1"/>
  <c r="U13" i="13"/>
  <c r="V13" i="13" s="1"/>
  <c r="X13" i="13" s="1"/>
  <c r="N58" i="4"/>
  <c r="D35" i="1"/>
  <c r="Q58" i="4"/>
  <c r="F37" i="1"/>
  <c r="F39" i="1" s="1"/>
  <c r="F36" i="4"/>
  <c r="D9" i="11" l="1"/>
  <c r="D11" i="11" s="1"/>
  <c r="T31" i="13"/>
  <c r="V29" i="13"/>
  <c r="X29" i="13" s="1"/>
  <c r="H35" i="1"/>
  <c r="T33" i="13" s="1"/>
  <c r="U19" i="13"/>
  <c r="V19" i="13" s="1"/>
  <c r="X19" i="13" s="1"/>
  <c r="U10" i="13"/>
  <c r="V10" i="13" s="1"/>
  <c r="X10" i="13" s="1"/>
  <c r="U20" i="13"/>
  <c r="V20" i="13" s="1"/>
  <c r="X20" i="13" s="1"/>
  <c r="U8" i="13"/>
  <c r="V8" i="13" s="1"/>
  <c r="U17" i="13"/>
  <c r="V17" i="13" s="1"/>
  <c r="X17" i="13" s="1"/>
  <c r="U18" i="13"/>
  <c r="V18" i="13" s="1"/>
  <c r="X18" i="13" s="1"/>
  <c r="U15" i="13"/>
  <c r="V15" i="13" s="1"/>
  <c r="X15" i="13" s="1"/>
  <c r="U9" i="13"/>
  <c r="V9" i="13" s="1"/>
  <c r="X9" i="13" s="1"/>
  <c r="U31" i="13"/>
  <c r="D37" i="1"/>
  <c r="F40" i="4"/>
  <c r="V31" i="13" l="1"/>
  <c r="X31" i="13" s="1"/>
  <c r="X8" i="13"/>
  <c r="V27" i="13"/>
  <c r="X27" i="13" s="1"/>
  <c r="U27" i="13"/>
  <c r="D39" i="1"/>
  <c r="F41" i="4"/>
  <c r="H16" i="1" s="1"/>
  <c r="H33" i="1"/>
  <c r="D10" i="4"/>
  <c r="B9" i="11" l="1"/>
  <c r="B11" i="11" s="1"/>
  <c r="S33" i="13"/>
  <c r="H33" i="13"/>
  <c r="H21" i="1"/>
  <c r="H37" i="1"/>
  <c r="D20" i="4"/>
  <c r="D26" i="4" s="1"/>
  <c r="D22" i="11" s="1"/>
  <c r="D26" i="11" s="1"/>
  <c r="B10" i="4" l="1"/>
  <c r="B20" i="4" s="1"/>
  <c r="B26" i="4" s="1"/>
  <c r="B22" i="11" s="1"/>
  <c r="B26" i="11" s="1"/>
  <c r="B28" i="11" s="1"/>
  <c r="D28" i="11"/>
  <c r="D31" i="11"/>
  <c r="K33" i="13"/>
  <c r="H25" i="1"/>
  <c r="M33" i="13" s="1"/>
  <c r="U33" i="13"/>
  <c r="B31" i="11" l="1"/>
  <c r="B35" i="11" s="1"/>
  <c r="D35" i="11"/>
  <c r="H39" i="1"/>
  <c r="F9" i="11" l="1"/>
  <c r="F11" i="11" s="1"/>
  <c r="V33" i="13"/>
  <c r="F10" i="4" l="1"/>
  <c r="F20" i="4" s="1"/>
  <c r="F26" i="4" s="1"/>
  <c r="F22" i="11" s="1"/>
  <c r="F26" i="11" s="1"/>
  <c r="X33" i="13"/>
  <c r="F28" i="11" l="1"/>
  <c r="F31" i="11"/>
  <c r="T27" i="13"/>
  <c r="F35" i="11" l="1"/>
</calcChain>
</file>

<file path=xl/sharedStrings.xml><?xml version="1.0" encoding="utf-8"?>
<sst xmlns="http://schemas.openxmlformats.org/spreadsheetml/2006/main" count="270" uniqueCount="161">
  <si>
    <t>Revenue Requirement Analysis</t>
  </si>
  <si>
    <t>Description</t>
  </si>
  <si>
    <t>Year End</t>
  </si>
  <si>
    <t xml:space="preserve"> Plus: Working Capital </t>
  </si>
  <si>
    <t xml:space="preserve">     Gross Cash Requirements </t>
  </si>
  <si>
    <t xml:space="preserve"> Total Year End Rate Base </t>
  </si>
  <si>
    <t xml:space="preserve"> Rate of Return </t>
  </si>
  <si>
    <t>Cost of Service:</t>
  </si>
  <si>
    <t>Operation &amp; Maintenance Expense</t>
  </si>
  <si>
    <t>Depreciation</t>
  </si>
  <si>
    <t xml:space="preserve">        Total Cost of Service</t>
  </si>
  <si>
    <t xml:space="preserve">        Total Revenue Requirement</t>
  </si>
  <si>
    <t>Barbados Light &amp; Power</t>
  </si>
  <si>
    <t>Taxes</t>
  </si>
  <si>
    <t>Insurance</t>
  </si>
  <si>
    <t xml:space="preserve">   Corporation tax expense</t>
  </si>
  <si>
    <t xml:space="preserve">   Deferred taxes</t>
  </si>
  <si>
    <t xml:space="preserve">   Deferred investment tax credit</t>
  </si>
  <si>
    <t xml:space="preserve">   Deferred manufacturers tax credit</t>
  </si>
  <si>
    <t xml:space="preserve"> Total Net Plant/Asset</t>
  </si>
  <si>
    <t>Authorized Return   (Rate Base * Rate of Return)</t>
  </si>
  <si>
    <t>Capital Structure</t>
  </si>
  <si>
    <t xml:space="preserve">Percent </t>
  </si>
  <si>
    <t>Rate of</t>
  </si>
  <si>
    <t>Rate</t>
  </si>
  <si>
    <t>Capitalization</t>
  </si>
  <si>
    <t>Return</t>
  </si>
  <si>
    <t>Equity</t>
  </si>
  <si>
    <t>Debt</t>
  </si>
  <si>
    <t>Total</t>
  </si>
  <si>
    <t>Electric Utility Plant/Asset in Service</t>
  </si>
  <si>
    <t>Lender</t>
  </si>
  <si>
    <t>Interest Rate</t>
  </si>
  <si>
    <t xml:space="preserve">Year of Maturity </t>
  </si>
  <si>
    <t>Leverage %</t>
  </si>
  <si>
    <t>Bank of Nova Scotia</t>
  </si>
  <si>
    <t xml:space="preserve">National Insurance Board </t>
  </si>
  <si>
    <t>CIBC First Caribbean</t>
  </si>
  <si>
    <t>National Insurance Board</t>
  </si>
  <si>
    <t>Undrawn Bank of Nova Scotia</t>
  </si>
  <si>
    <t>Undrawn CIBC First Caribbean</t>
  </si>
  <si>
    <t>Total Committed Balance</t>
  </si>
  <si>
    <t>Battery Storage Lower Estate - 10MW 4 hour</t>
  </si>
  <si>
    <t>Cost</t>
  </si>
  <si>
    <t>Depreciation Rate</t>
  </si>
  <si>
    <t>Depreciation Expense</t>
  </si>
  <si>
    <t>Battery Storage Hampton 10MW 4 hour - BESS02</t>
  </si>
  <si>
    <t>Battery Storage - Trents II - 10 MW 4 hour - BESS03</t>
  </si>
  <si>
    <t>Battery Storage - Wotton 10MW 4 hour - BESS05</t>
  </si>
  <si>
    <t>Battery Storage - Spring Garden - 10 MW 4 hour - BESS04</t>
  </si>
  <si>
    <t>Battery Storage Garrison - 10MW 4 hour</t>
  </si>
  <si>
    <t>Battery Storage White Park - 10MW 4 hour</t>
  </si>
  <si>
    <t>Battery Storage Seawell - 10MW 4 hour</t>
  </si>
  <si>
    <t>Assets</t>
  </si>
  <si>
    <t>Battery Storage - Feeder 1MW 4 hour</t>
  </si>
  <si>
    <t>Battery Storage Feeder - 1MW 4 hour</t>
  </si>
  <si>
    <t>Battery Storage  Distribution Feeder - 1MW 4 hour</t>
  </si>
  <si>
    <t># of MWs</t>
  </si>
  <si>
    <t>Battery Storage  Distribution Feeder - 1MW 4 hour</t>
  </si>
  <si>
    <t>O&amp;M Expenses</t>
  </si>
  <si>
    <t xml:space="preserve">CORPORATION TAX COMPUTATION (BDS 000s) </t>
  </si>
  <si>
    <t>FY 2024</t>
  </si>
  <si>
    <t>FY 2025</t>
  </si>
  <si>
    <t>FY 2026</t>
  </si>
  <si>
    <t>Profit before taxes per Income Statement</t>
  </si>
  <si>
    <t>ADD:</t>
  </si>
  <si>
    <t>LESS:</t>
  </si>
  <si>
    <t>Deferred Manufacturing tax credit</t>
  </si>
  <si>
    <t>Annual Allowance</t>
  </si>
  <si>
    <t>Manufacturing Allowance</t>
  </si>
  <si>
    <t>Balancing Allowance</t>
  </si>
  <si>
    <t>Adjusted Profit/(Loss)</t>
  </si>
  <si>
    <t>Tax Rate</t>
  </si>
  <si>
    <t>Corporation Tax Payable</t>
  </si>
  <si>
    <t>Per Income Statement</t>
  </si>
  <si>
    <t>CAPITAL ALLOWANCES</t>
  </si>
  <si>
    <t>Year</t>
  </si>
  <si>
    <t>MAN. TAX CREDITS</t>
  </si>
  <si>
    <t>50 % of Cost</t>
  </si>
  <si>
    <t>Tax Depreciation</t>
  </si>
  <si>
    <t>Less Financial Depreciation</t>
  </si>
  <si>
    <t>Deferred Charge for year</t>
  </si>
  <si>
    <t>Deferred Charge Balance</t>
  </si>
  <si>
    <t>Deferred Man Charge for year</t>
  </si>
  <si>
    <t>Deferred Manu. Credit Balance</t>
  </si>
  <si>
    <t>Deferred Taxes</t>
  </si>
  <si>
    <t>Forecast</t>
  </si>
  <si>
    <t>Revenues</t>
  </si>
  <si>
    <t xml:space="preserve">  Basic Revenue</t>
  </si>
  <si>
    <t>Operating and maintenance expenses</t>
  </si>
  <si>
    <t>Generation</t>
  </si>
  <si>
    <t>Current Portion</t>
  </si>
  <si>
    <t>Deferred Portion</t>
  </si>
  <si>
    <t>Deferred investment tax credit</t>
  </si>
  <si>
    <t>Total expenses</t>
  </si>
  <si>
    <t>Operating Income</t>
  </si>
  <si>
    <t>Finance Costs</t>
  </si>
  <si>
    <t>Net income for the year</t>
  </si>
  <si>
    <t>DEF. MAN. TAX CREDITS</t>
  </si>
  <si>
    <t>Rate Base</t>
  </si>
  <si>
    <t>GM0342</t>
  </si>
  <si>
    <t>GM0343</t>
  </si>
  <si>
    <t>AMGM09</t>
  </si>
  <si>
    <t>AMGM38</t>
  </si>
  <si>
    <t>AMGM41</t>
  </si>
  <si>
    <t>AMGM42</t>
  </si>
  <si>
    <t>AMGM43</t>
  </si>
  <si>
    <t>AMGM45</t>
  </si>
  <si>
    <t>AMGM54</t>
  </si>
  <si>
    <t>AMGM55</t>
  </si>
  <si>
    <t>AMGM56</t>
  </si>
  <si>
    <t>AMGM57</t>
  </si>
  <si>
    <t>AMGM58</t>
  </si>
  <si>
    <t>AMGM59</t>
  </si>
  <si>
    <t>AMGM60</t>
  </si>
  <si>
    <t>AMGM61</t>
  </si>
  <si>
    <t>AMGM62</t>
  </si>
  <si>
    <t>AMGM63</t>
  </si>
  <si>
    <t>CAP DATE</t>
  </si>
  <si>
    <t>PROJ #</t>
  </si>
  <si>
    <t>DESCRIPTION</t>
  </si>
  <si>
    <t>Total Cost</t>
  </si>
  <si>
    <t>O&amp;M</t>
  </si>
  <si>
    <t>AFDUC</t>
  </si>
  <si>
    <t>Total Plant Cost</t>
  </si>
  <si>
    <t>Working Capital</t>
  </si>
  <si>
    <t>Capital Cost</t>
  </si>
  <si>
    <t>AFUDC</t>
  </si>
  <si>
    <t>Energy Storage Devices</t>
  </si>
  <si>
    <t>Corp. Tax</t>
  </si>
  <si>
    <t>RORB</t>
  </si>
  <si>
    <t xml:space="preserve"> Def. Man. Tax Credit</t>
  </si>
  <si>
    <t>Revenue Requirement</t>
  </si>
  <si>
    <t>Cost of Service</t>
  </si>
  <si>
    <t>Lower Estate Sub station Building</t>
  </si>
  <si>
    <t>Lower Estate Sub station Equipment</t>
  </si>
  <si>
    <t>Substation Equipment</t>
  </si>
  <si>
    <t>Substation Building</t>
  </si>
  <si>
    <t>Less: Customer Contributed Capital</t>
  </si>
  <si>
    <t xml:space="preserve"> Deferred Income Taxes</t>
  </si>
  <si>
    <t xml:space="preserve">      Accumulated Deferred Income Tax Liability</t>
  </si>
  <si>
    <t>Deferred Tax</t>
  </si>
  <si>
    <t>A.D.I.T</t>
  </si>
  <si>
    <t>Annual Load</t>
  </si>
  <si>
    <t>Rate Per Kwh</t>
  </si>
  <si>
    <t>Balance as at Aug 31, 2023</t>
  </si>
  <si>
    <t>2024 US Loan</t>
  </si>
  <si>
    <t>Q3 2023 BBD Loan</t>
  </si>
  <si>
    <t>2024 BBD Loan</t>
  </si>
  <si>
    <t>WACDebt</t>
  </si>
  <si>
    <t>Project</t>
  </si>
  <si>
    <t>Start Date</t>
  </si>
  <si>
    <t>CAP Date</t>
  </si>
  <si>
    <t>No. of Months</t>
  </si>
  <si>
    <t>DM0174</t>
  </si>
  <si>
    <t>DM0175</t>
  </si>
  <si>
    <t>Income Statement</t>
  </si>
  <si>
    <t>Resources Analysis</t>
  </si>
  <si>
    <t>Battery Energy Storage Systems</t>
  </si>
  <si>
    <t>Clean Energy Transistion Plan Project 1</t>
  </si>
  <si>
    <t>Deferred 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</si>
</sst>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_);_(@_)"/>
    <numFmt numFmtId="167" formatCode="0.000%"/>
    <numFmt numFmtId="168" formatCode="#,###,;\(#,###,\)"/>
    <numFmt numFmtId="169" formatCode="0_);\(0\)"/>
    <numFmt numFmtId="170" formatCode="0.0000%"/>
    <numFmt numFmtId="171" formatCode="0.00000%"/>
    <numFmt numFmtId="172" formatCode="[$-409]d\-mmm\-yy;@"/>
    <numFmt numFmtId="173" formatCode="mmmm\ d\,\ yyyy"/>
    <numFmt numFmtId="174" formatCode="_-* #,##0.00_-;\-* #,##0.00_-;_-* &quot;-&quot;??_-;_-@_-"/>
    <numFmt numFmtId="175" formatCode="_-* #,##0_-;\-* #,##0_-;_-* &quot;-&quot;??_-;_-@_-"/>
    <numFmt numFmtId="176" formatCode="0.0%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8"/>
      <name val="Calibri"/>
      <family val="2"/>
      <scheme val="minor"/>
    </font>
    <font>
      <sz val="10"/>
      <name val="Arial MT"/>
    </font>
    <font>
      <b/>
      <sz val="11"/>
      <name val="Arial Narrow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Arial Narrow"/>
      <family val="2"/>
    </font>
    <font>
      <sz val="10"/>
      <name val="Helv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9" fillId="0" borderId="0"/>
    <xf numFmtId="0" fontId="10" fillId="0" borderId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39" fontId="17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3" fillId="0" borderId="0"/>
    <xf numFmtId="174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center"/>
    </xf>
    <xf numFmtId="42" fontId="4" fillId="0" borderId="0" xfId="4" applyFont="1"/>
    <xf numFmtId="41" fontId="4" fillId="0" borderId="1" xfId="2" applyNumberFormat="1" applyFont="1" applyFill="1" applyBorder="1"/>
    <xf numFmtId="41" fontId="4" fillId="0" borderId="0" xfId="2" applyNumberFormat="1" applyFont="1" applyFill="1" applyAlignment="1">
      <alignment horizontal="center"/>
    </xf>
    <xf numFmtId="41" fontId="4" fillId="0" borderId="0" xfId="2" applyNumberFormat="1" applyFont="1" applyFill="1"/>
    <xf numFmtId="41" fontId="0" fillId="0" borderId="0" xfId="0" applyNumberFormat="1"/>
    <xf numFmtId="41" fontId="4" fillId="0" borderId="0" xfId="0" applyNumberFormat="1" applyFont="1"/>
    <xf numFmtId="164" fontId="4" fillId="0" borderId="2" xfId="0" applyNumberFormat="1" applyFont="1" applyBorder="1"/>
    <xf numFmtId="164" fontId="4" fillId="0" borderId="0" xfId="0" applyNumberFormat="1" applyFont="1"/>
    <xf numFmtId="42" fontId="2" fillId="0" borderId="0" xfId="4" applyFont="1"/>
    <xf numFmtId="10" fontId="4" fillId="0" borderId="0" xfId="0" applyNumberFormat="1" applyFont="1"/>
    <xf numFmtId="0" fontId="6" fillId="0" borderId="0" xfId="4" applyNumberFormat="1" applyFont="1"/>
    <xf numFmtId="0" fontId="4" fillId="0" borderId="0" xfId="4" applyNumberFormat="1" applyFont="1"/>
    <xf numFmtId="10" fontId="2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3" applyNumberFormat="1" applyFont="1" applyFill="1"/>
    <xf numFmtId="165" fontId="4" fillId="0" borderId="0" xfId="2" applyNumberFormat="1" applyFont="1" applyFill="1"/>
    <xf numFmtId="43" fontId="4" fillId="0" borderId="0" xfId="3" applyNumberFormat="1" applyFont="1" applyFill="1"/>
    <xf numFmtId="43" fontId="0" fillId="0" borderId="0" xfId="0" applyNumberFormat="1"/>
    <xf numFmtId="166" fontId="0" fillId="0" borderId="0" xfId="0" applyNumberFormat="1"/>
    <xf numFmtId="167" fontId="4" fillId="0" borderId="0" xfId="3" applyNumberFormat="1" applyFont="1" applyFill="1" applyAlignment="1">
      <alignment horizontal="center"/>
    </xf>
    <xf numFmtId="41" fontId="4" fillId="0" borderId="0" xfId="4" applyNumberFormat="1" applyFont="1"/>
    <xf numFmtId="41" fontId="4" fillId="0" borderId="0" xfId="1" applyNumberFormat="1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left"/>
    </xf>
    <xf numFmtId="164" fontId="4" fillId="0" borderId="0" xfId="2" applyNumberFormat="1" applyFont="1" applyFill="1" applyBorder="1"/>
    <xf numFmtId="0" fontId="4" fillId="0" borderId="0" xfId="0" applyFont="1" applyAlignment="1">
      <alignment horizontal="center"/>
    </xf>
    <xf numFmtId="164" fontId="2" fillId="0" borderId="3" xfId="0" applyNumberFormat="1" applyFont="1" applyBorder="1"/>
    <xf numFmtId="164" fontId="2" fillId="0" borderId="1" xfId="0" applyNumberFormat="1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0" fontId="4" fillId="0" borderId="0" xfId="6" applyNumberFormat="1" applyFont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0" fillId="0" borderId="0" xfId="3" applyNumberFormat="1" applyFont="1"/>
    <xf numFmtId="43" fontId="0" fillId="0" borderId="0" xfId="1" applyFont="1"/>
    <xf numFmtId="43" fontId="0" fillId="0" borderId="4" xfId="0" applyNumberFormat="1" applyBorder="1"/>
    <xf numFmtId="10" fontId="0" fillId="0" borderId="0" xfId="0" applyNumberFormat="1"/>
    <xf numFmtId="0" fontId="13" fillId="0" borderId="0" xfId="0" applyFont="1" applyAlignment="1">
      <alignment vertical="center"/>
    </xf>
    <xf numFmtId="10" fontId="13" fillId="0" borderId="0" xfId="3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37" fontId="14" fillId="0" borderId="0" xfId="0" applyNumberFormat="1" applyFont="1" applyAlignment="1">
      <alignment vertical="center"/>
    </xf>
    <xf numFmtId="10" fontId="14" fillId="0" borderId="0" xfId="3" applyNumberFormat="1" applyFont="1" applyAlignment="1">
      <alignment vertical="center"/>
    </xf>
    <xf numFmtId="0" fontId="14" fillId="0" borderId="0" xfId="0" applyFont="1" applyAlignment="1">
      <alignment vertical="center"/>
    </xf>
    <xf numFmtId="168" fontId="13" fillId="0" borderId="0" xfId="0" applyNumberFormat="1" applyFont="1" applyAlignment="1">
      <alignment vertical="center"/>
    </xf>
    <xf numFmtId="168" fontId="13" fillId="0" borderId="5" xfId="0" applyNumberFormat="1" applyFont="1" applyBorder="1" applyAlignment="1">
      <alignment vertical="center"/>
    </xf>
    <xf numFmtId="10" fontId="15" fillId="0" borderId="0" xfId="3" applyNumberFormat="1" applyFont="1"/>
    <xf numFmtId="0" fontId="13" fillId="0" borderId="0" xfId="0" applyFont="1" applyAlignment="1">
      <alignment horizontal="center" vertical="center" wrapText="1"/>
    </xf>
    <xf numFmtId="0" fontId="12" fillId="0" borderId="0" xfId="0" applyFont="1"/>
    <xf numFmtId="165" fontId="1" fillId="0" borderId="0" xfId="7" applyNumberFormat="1" applyFont="1"/>
    <xf numFmtId="43" fontId="4" fillId="0" borderId="0" xfId="1" applyFont="1" applyFill="1" applyBorder="1"/>
    <xf numFmtId="39" fontId="11" fillId="0" borderId="0" xfId="9" applyFont="1"/>
    <xf numFmtId="0" fontId="18" fillId="0" borderId="1" xfId="10" applyNumberFormat="1" applyFont="1" applyFill="1" applyBorder="1" applyAlignment="1">
      <alignment horizontal="center" vertical="center" wrapText="1"/>
    </xf>
    <xf numFmtId="39" fontId="17" fillId="0" borderId="0" xfId="9"/>
    <xf numFmtId="39" fontId="19" fillId="0" borderId="0" xfId="9" applyFont="1"/>
    <xf numFmtId="39" fontId="20" fillId="0" borderId="0" xfId="9" applyFont="1"/>
    <xf numFmtId="0" fontId="14" fillId="2" borderId="7" xfId="11" applyFont="1" applyFill="1" applyBorder="1" applyAlignment="1">
      <alignment horizontal="center" vertical="center"/>
    </xf>
    <xf numFmtId="169" fontId="14" fillId="2" borderId="7" xfId="11" quotePrefix="1" applyNumberFormat="1" applyFont="1" applyFill="1" applyBorder="1" applyAlignment="1">
      <alignment horizontal="center" vertical="center"/>
    </xf>
    <xf numFmtId="0" fontId="14" fillId="0" borderId="0" xfId="11" applyFont="1" applyAlignment="1">
      <alignment vertical="center"/>
    </xf>
    <xf numFmtId="10" fontId="14" fillId="0" borderId="0" xfId="13" applyNumberFormat="1" applyFont="1" applyFill="1" applyAlignment="1">
      <alignment vertical="center"/>
    </xf>
    <xf numFmtId="37" fontId="14" fillId="0" borderId="0" xfId="12" applyNumberFormat="1" applyFont="1" applyFill="1" applyAlignment="1">
      <alignment vertical="center"/>
    </xf>
    <xf numFmtId="165" fontId="14" fillId="0" borderId="0" xfId="12" applyNumberFormat="1" applyFont="1" applyFill="1" applyAlignment="1">
      <alignment vertical="center"/>
    </xf>
    <xf numFmtId="39" fontId="17" fillId="0" borderId="6" xfId="9" applyBorder="1"/>
    <xf numFmtId="170" fontId="0" fillId="0" borderId="0" xfId="13" applyNumberFormat="1" applyFont="1"/>
    <xf numFmtId="0" fontId="21" fillId="0" borderId="0" xfId="0" applyFont="1"/>
    <xf numFmtId="37" fontId="14" fillId="0" borderId="4" xfId="12" applyNumberFormat="1" applyFont="1" applyFill="1" applyBorder="1" applyAlignment="1">
      <alignment vertical="center"/>
    </xf>
    <xf numFmtId="37" fontId="22" fillId="0" borderId="0" xfId="0" applyNumberFormat="1" applyFont="1" applyAlignment="1">
      <alignment horizontal="center" vertical="center"/>
    </xf>
    <xf numFmtId="173" fontId="18" fillId="0" borderId="0" xfId="14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0" fontId="0" fillId="0" borderId="1" xfId="0" applyBorder="1"/>
    <xf numFmtId="41" fontId="0" fillId="0" borderId="6" xfId="0" applyNumberFormat="1" applyBorder="1"/>
    <xf numFmtId="174" fontId="22" fillId="0" borderId="0" xfId="15" applyFont="1" applyFill="1" applyBorder="1" applyAlignment="1">
      <alignment horizontal="right" vertical="center"/>
    </xf>
    <xf numFmtId="41" fontId="12" fillId="0" borderId="6" xfId="0" applyNumberFormat="1" applyFont="1" applyBorder="1"/>
    <xf numFmtId="41" fontId="0" fillId="0" borderId="4" xfId="0" applyNumberFormat="1" applyBorder="1"/>
    <xf numFmtId="41" fontId="0" fillId="0" borderId="1" xfId="0" applyNumberFormat="1" applyBorder="1"/>
    <xf numFmtId="175" fontId="2" fillId="0" borderId="2" xfId="15" applyNumberFormat="1" applyFont="1" applyFill="1" applyBorder="1"/>
    <xf numFmtId="39" fontId="0" fillId="0" borderId="0" xfId="0" applyNumberFormat="1"/>
    <xf numFmtId="10" fontId="2" fillId="0" borderId="0" xfId="0" applyNumberFormat="1" applyFont="1"/>
    <xf numFmtId="164" fontId="2" fillId="0" borderId="0" xfId="2" applyNumberFormat="1" applyFont="1" applyAlignment="1">
      <alignment horizontal="center"/>
    </xf>
    <xf numFmtId="44" fontId="0" fillId="0" borderId="0" xfId="0" applyNumberFormat="1"/>
    <xf numFmtId="165" fontId="0" fillId="0" borderId="0" xfId="7" applyNumberFormat="1" applyFont="1"/>
    <xf numFmtId="165" fontId="0" fillId="0" borderId="0" xfId="0" applyNumberFormat="1"/>
    <xf numFmtId="165" fontId="12" fillId="0" borderId="0" xfId="7" applyNumberFormat="1" applyFont="1"/>
    <xf numFmtId="0" fontId="1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18" fillId="0" borderId="0" xfId="10" applyNumberFormat="1" applyFont="1" applyFill="1" applyBorder="1" applyAlignment="1">
      <alignment horizontal="center" vertical="center" wrapText="1"/>
    </xf>
    <xf numFmtId="0" fontId="14" fillId="0" borderId="0" xfId="11" applyFont="1" applyAlignment="1">
      <alignment horizontal="center" vertical="center"/>
    </xf>
    <xf numFmtId="37" fontId="14" fillId="0" borderId="0" xfId="12" applyNumberFormat="1" applyFont="1" applyFill="1" applyBorder="1" applyAlignment="1">
      <alignment vertical="center"/>
    </xf>
    <xf numFmtId="171" fontId="0" fillId="0" borderId="0" xfId="13" applyNumberFormat="1" applyFont="1" applyFill="1" applyBorder="1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10" fontId="15" fillId="0" borderId="0" xfId="3" applyNumberFormat="1" applyFont="1" applyFill="1"/>
    <xf numFmtId="168" fontId="0" fillId="0" borderId="0" xfId="0" applyNumberFormat="1"/>
    <xf numFmtId="168" fontId="13" fillId="0" borderId="4" xfId="0" applyNumberFormat="1" applyFont="1" applyBorder="1" applyAlignment="1">
      <alignment vertical="center"/>
    </xf>
    <xf numFmtId="176" fontId="17" fillId="0" borderId="0" xfId="3" applyNumberFormat="1" applyFont="1"/>
    <xf numFmtId="43" fontId="1" fillId="0" borderId="0" xfId="1" applyFont="1"/>
    <xf numFmtId="0" fontId="4" fillId="0" borderId="0" xfId="0" applyFont="1" applyAlignment="1" applyProtection="1">
      <alignment horizontal="left" vertical="top"/>
      <protection locked="0"/>
    </xf>
    <xf numFmtId="39" fontId="4" fillId="0" borderId="0" xfId="5" applyNumberFormat="1" applyFont="1" applyAlignment="1">
      <alignment horizontal="left"/>
    </xf>
    <xf numFmtId="165" fontId="12" fillId="0" borderId="0" xfId="0" applyNumberFormat="1" applyFont="1"/>
    <xf numFmtId="166" fontId="0" fillId="0" borderId="0" xfId="7" applyNumberFormat="1" applyFont="1"/>
    <xf numFmtId="166" fontId="12" fillId="0" borderId="0" xfId="7" applyNumberFormat="1" applyFont="1"/>
    <xf numFmtId="168" fontId="13" fillId="0" borderId="6" xfId="0" applyNumberFormat="1" applyFont="1" applyBorder="1" applyAlignment="1">
      <alignment vertical="center"/>
    </xf>
    <xf numFmtId="10" fontId="13" fillId="0" borderId="4" xfId="3" applyNumberFormat="1" applyFont="1" applyBorder="1" applyAlignment="1">
      <alignment vertical="center"/>
    </xf>
    <xf numFmtId="168" fontId="13" fillId="0" borderId="1" xfId="0" applyNumberFormat="1" applyFont="1" applyBorder="1" applyAlignment="1">
      <alignment vertical="center"/>
    </xf>
    <xf numFmtId="10" fontId="4" fillId="0" borderId="0" xfId="0" applyNumberFormat="1" applyFont="1" applyAlignment="1">
      <alignment horizontal="center"/>
    </xf>
    <xf numFmtId="10" fontId="13" fillId="0" borderId="4" xfId="3" applyNumberFormat="1" applyFont="1" applyFill="1" applyBorder="1" applyAlignment="1">
      <alignment vertical="center"/>
    </xf>
    <xf numFmtId="43" fontId="0" fillId="0" borderId="0" xfId="1" applyFont="1" applyFill="1"/>
    <xf numFmtId="171" fontId="0" fillId="0" borderId="0" xfId="13" applyNumberFormat="1" applyFont="1" applyFill="1"/>
    <xf numFmtId="172" fontId="25" fillId="0" borderId="0" xfId="0" applyNumberFormat="1" applyFont="1" applyAlignment="1">
      <alignment horizontal="center" vertical="center"/>
    </xf>
    <xf numFmtId="43" fontId="24" fillId="0" borderId="0" xfId="1" applyFont="1"/>
    <xf numFmtId="165" fontId="0" fillId="0" borderId="0" xfId="7" applyNumberFormat="1" applyFont="1" applyFill="1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0" xfId="0"/>
  </cellXfs>
  <cellStyles count="16">
    <cellStyle name="Comma" xfId="1" builtinId="3"/>
    <cellStyle name="Comma 2" xfId="7" xr:uid="{C549E61E-8A52-4C20-8F57-CBFB99515EB2}"/>
    <cellStyle name="Comma 3" xfId="12" xr:uid="{D05DB49F-A67E-4D88-8EBE-446DE5C323E1}"/>
    <cellStyle name="Comma 4" xfId="10" xr:uid="{42E07785-1738-4539-8116-919AB9E222A3}"/>
    <cellStyle name="Comma 5" xfId="15" xr:uid="{B2059CBC-013E-4B9C-ADF9-DE2901E1007F}"/>
    <cellStyle name="Currency" xfId="2" builtinId="4"/>
    <cellStyle name="Normal" xfId="0" builtinId="0"/>
    <cellStyle name="Normal 3" xfId="8" xr:uid="{EECC9D74-C055-4946-9981-61F0540BC381}"/>
    <cellStyle name="Normal 4" xfId="9" xr:uid="{0E87E9B6-5422-492F-A571-67EF083DB593}"/>
    <cellStyle name="Normal_BalSht2" xfId="5" xr:uid="{677F4597-2252-4D23-9EF5-0646EB8FC844}"/>
    <cellStyle name="Normal_FIN&amp;STAT-APR 2010" xfId="14" xr:uid="{8EF66E66-42D9-498C-97C6-782A58F3C989}"/>
    <cellStyle name="Normal_Manufallowance_2008" xfId="11" xr:uid="{4CDFF4AD-F883-498F-924C-02019BFF6015}"/>
    <cellStyle name="Normal_Rev Req Analysis_Rev1" xfId="4" xr:uid="{74763127-A91C-4ED8-898F-1405367FB86D}"/>
    <cellStyle name="Percent" xfId="3" builtinId="5"/>
    <cellStyle name="Percent 10 2" xfId="6" xr:uid="{0E402A0F-60D5-4E65-BE79-1764FA331DD2}"/>
    <cellStyle name="Percent 2" xfId="13" xr:uid="{37634002-7434-4B92-BEB2-4114A1FF6823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CEE19-71A2-40CC-A4D8-2DB9C2C8C3BD}">
  <dimension ref="A1:M41"/>
  <sheetViews>
    <sheetView tabSelected="1" workbookViewId="0">
      <selection activeCell="K18" sqref="K18"/>
    </sheetView>
  </sheetViews>
  <sheetFormatPr defaultRowHeight="14.4"/>
  <cols>
    <col min="1" max="1" width="1.88671875" customWidth="1"/>
    <col min="2" max="2" width="48.88671875" bestFit="1" customWidth="1"/>
    <col min="3" max="3" width="4.21875" customWidth="1"/>
    <col min="4" max="4" width="14.44140625" bestFit="1" customWidth="1"/>
    <col min="5" max="5" width="1.44140625" customWidth="1"/>
    <col min="6" max="6" width="14.44140625" bestFit="1" customWidth="1"/>
    <col min="7" max="7" width="1.44140625" customWidth="1"/>
    <col min="8" max="8" width="14.6640625" bestFit="1" customWidth="1"/>
    <col min="9" max="9" width="1.44140625" customWidth="1"/>
    <col min="10" max="10" width="14.109375" bestFit="1" customWidth="1"/>
    <col min="11" max="11" width="12.21875" bestFit="1" customWidth="1"/>
    <col min="12" max="12" width="10.44140625" bestFit="1" customWidth="1"/>
    <col min="13" max="13" width="10.77734375" bestFit="1" customWidth="1"/>
  </cols>
  <sheetData>
    <row r="1" spans="1:11">
      <c r="A1" s="121" t="s">
        <v>12</v>
      </c>
      <c r="B1" s="121"/>
      <c r="C1" s="121"/>
      <c r="D1" s="121"/>
      <c r="E1" s="121"/>
      <c r="F1" s="121"/>
      <c r="G1" s="121"/>
      <c r="H1" s="121"/>
      <c r="I1" s="121"/>
    </row>
    <row r="2" spans="1:11">
      <c r="A2" s="121" t="s">
        <v>159</v>
      </c>
      <c r="B2" s="121"/>
      <c r="C2" s="121"/>
      <c r="D2" s="121"/>
      <c r="E2" s="121"/>
      <c r="F2" s="121"/>
      <c r="G2" s="121"/>
      <c r="H2" s="121"/>
      <c r="I2" s="121"/>
    </row>
    <row r="3" spans="1:11">
      <c r="A3" s="121" t="s">
        <v>158</v>
      </c>
      <c r="B3" s="121"/>
      <c r="C3" s="121"/>
      <c r="D3" s="121"/>
      <c r="E3" s="121"/>
      <c r="F3" s="121"/>
      <c r="G3" s="121"/>
      <c r="H3" s="121"/>
      <c r="I3" s="121"/>
    </row>
    <row r="4" spans="1:11">
      <c r="A4" s="121" t="s">
        <v>0</v>
      </c>
      <c r="B4" s="121"/>
      <c r="C4" s="121"/>
      <c r="D4" s="121"/>
      <c r="E4" s="121"/>
      <c r="F4" s="121"/>
      <c r="G4" s="121"/>
      <c r="H4" s="121"/>
      <c r="I4" s="121"/>
    </row>
    <row r="5" spans="1:11">
      <c r="A5" s="122"/>
      <c r="B5" s="122"/>
      <c r="C5" s="122"/>
      <c r="D5" s="122"/>
      <c r="E5" s="122"/>
      <c r="F5" s="122"/>
      <c r="G5" s="122"/>
      <c r="H5" s="122"/>
      <c r="I5" s="122"/>
    </row>
    <row r="6" spans="1:11">
      <c r="A6" s="122"/>
      <c r="B6" s="122"/>
      <c r="C6" s="122"/>
      <c r="D6" s="122"/>
      <c r="E6" s="122"/>
      <c r="F6" s="122"/>
      <c r="G6" s="122"/>
      <c r="H6" s="122"/>
      <c r="I6" s="122"/>
    </row>
    <row r="7" spans="1:11">
      <c r="A7" s="2"/>
      <c r="B7" s="2"/>
      <c r="C7" s="2"/>
      <c r="D7" s="1">
        <v>2024</v>
      </c>
      <c r="E7" s="1"/>
      <c r="F7" s="1">
        <v>2025</v>
      </c>
      <c r="G7" s="1"/>
      <c r="H7" s="1">
        <v>2026</v>
      </c>
      <c r="I7" s="1"/>
    </row>
    <row r="8" spans="1:11">
      <c r="A8" s="3"/>
      <c r="B8" s="4" t="s">
        <v>1</v>
      </c>
      <c r="C8" s="3"/>
      <c r="D8" s="4" t="s">
        <v>2</v>
      </c>
      <c r="E8" s="4"/>
      <c r="F8" s="4" t="s">
        <v>2</v>
      </c>
      <c r="G8" s="4"/>
      <c r="H8" s="4" t="s">
        <v>2</v>
      </c>
      <c r="I8" s="4"/>
    </row>
    <row r="9" spans="1:11">
      <c r="A9" s="3"/>
      <c r="B9" s="5" t="s">
        <v>30</v>
      </c>
      <c r="C9" s="3"/>
      <c r="D9" s="3"/>
      <c r="E9" s="3"/>
      <c r="F9" s="3"/>
      <c r="G9" s="3"/>
      <c r="H9" s="3"/>
      <c r="I9" s="3"/>
    </row>
    <row r="10" spans="1:11">
      <c r="A10" s="3"/>
      <c r="B10" s="3" t="s">
        <v>128</v>
      </c>
      <c r="C10" s="3"/>
      <c r="D10" s="6">
        <f>Depreciation!I25+Depreciation!I41</f>
        <v>107769755.36700001</v>
      </c>
      <c r="E10" s="7"/>
      <c r="F10" s="6">
        <f>Depreciation!J25+Depreciation!J41</f>
        <v>223676843.05050001</v>
      </c>
      <c r="G10" s="7"/>
      <c r="H10" s="6">
        <f>Depreciation!K25+Depreciation!K41</f>
        <v>227423786.16666666</v>
      </c>
      <c r="I10" s="7"/>
      <c r="J10" s="87"/>
    </row>
    <row r="11" spans="1:11">
      <c r="A11" s="3"/>
      <c r="B11" s="8"/>
      <c r="C11" s="8"/>
      <c r="D11" s="9"/>
      <c r="E11" s="10"/>
      <c r="F11" s="9"/>
      <c r="G11" s="10"/>
      <c r="H11" s="9"/>
      <c r="I11" s="10"/>
    </row>
    <row r="12" spans="1:11">
      <c r="A12" s="3"/>
      <c r="B12" s="8" t="s">
        <v>19</v>
      </c>
      <c r="C12" s="8"/>
      <c r="D12" s="11">
        <f>SUM(D10:D11)</f>
        <v>107769755.36700001</v>
      </c>
      <c r="E12" s="10"/>
      <c r="F12" s="11">
        <f>SUM(F10:F11)</f>
        <v>223676843.05050001</v>
      </c>
      <c r="G12" s="10"/>
      <c r="H12" s="11">
        <f>SUM(H10:H11)</f>
        <v>227423786.16666666</v>
      </c>
      <c r="I12" s="10"/>
      <c r="K12" s="12"/>
    </row>
    <row r="13" spans="1:11">
      <c r="A13" s="3"/>
      <c r="B13" s="8"/>
      <c r="C13" s="8"/>
      <c r="D13" s="11"/>
      <c r="E13" s="10"/>
      <c r="F13" s="11"/>
      <c r="G13" s="10"/>
      <c r="H13" s="11"/>
      <c r="I13" s="10"/>
      <c r="K13" s="12"/>
    </row>
    <row r="14" spans="1:11">
      <c r="A14" s="3"/>
      <c r="B14" s="105" t="s">
        <v>138</v>
      </c>
      <c r="C14" s="8"/>
      <c r="D14" s="11"/>
      <c r="E14" s="10"/>
      <c r="F14" s="11"/>
      <c r="G14" s="10"/>
      <c r="H14" s="11"/>
      <c r="I14" s="10"/>
      <c r="K14" s="12"/>
    </row>
    <row r="15" spans="1:11">
      <c r="A15" s="3"/>
      <c r="B15" s="105" t="s">
        <v>139</v>
      </c>
      <c r="C15" s="8"/>
      <c r="D15" s="11"/>
      <c r="E15" s="10"/>
      <c r="F15" s="11"/>
      <c r="G15" s="10"/>
      <c r="H15" s="11"/>
      <c r="I15" s="10"/>
      <c r="K15" s="12"/>
    </row>
    <row r="16" spans="1:11">
      <c r="A16" s="3"/>
      <c r="B16" s="106" t="s">
        <v>140</v>
      </c>
      <c r="C16" s="8"/>
      <c r="D16" s="11">
        <f>-Taxes!B41</f>
        <v>0</v>
      </c>
      <c r="E16" s="10"/>
      <c r="F16" s="11">
        <f>-Taxes!D41</f>
        <v>0</v>
      </c>
      <c r="G16" s="10"/>
      <c r="H16" s="11">
        <f>-Taxes!F41</f>
        <v>-1522.7166243586171</v>
      </c>
      <c r="I16" s="10"/>
      <c r="K16" s="12"/>
    </row>
    <row r="17" spans="1:13">
      <c r="A17" s="3"/>
      <c r="B17" s="8"/>
      <c r="C17" s="8"/>
      <c r="D17" s="13"/>
      <c r="E17" s="13"/>
      <c r="F17" s="13"/>
      <c r="G17" s="13"/>
      <c r="H17" s="13"/>
      <c r="I17" s="13"/>
      <c r="K17" s="12"/>
    </row>
    <row r="18" spans="1:13">
      <c r="A18" s="3"/>
      <c r="B18" s="8" t="s">
        <v>3</v>
      </c>
      <c r="C18" s="8"/>
      <c r="D18" s="13"/>
      <c r="E18" s="13"/>
      <c r="F18" s="13"/>
      <c r="G18" s="13"/>
      <c r="H18" s="13"/>
      <c r="I18" s="13"/>
      <c r="K18" s="12"/>
    </row>
    <row r="19" spans="1:13">
      <c r="A19" s="3"/>
      <c r="B19" s="8" t="s">
        <v>4</v>
      </c>
      <c r="C19" s="8"/>
      <c r="D19" s="11">
        <f>(D28+D30)*12.5%</f>
        <v>171159.50166006375</v>
      </c>
      <c r="E19" s="11"/>
      <c r="F19" s="11">
        <f>(F28+F30)*12.5%</f>
        <v>369745.43390259566</v>
      </c>
      <c r="G19" s="11"/>
      <c r="H19" s="11">
        <f>(H28+H30)*12.5%</f>
        <v>390061.70924999996</v>
      </c>
      <c r="I19" s="11"/>
      <c r="K19" s="12"/>
    </row>
    <row r="20" spans="1:13">
      <c r="A20" s="3"/>
      <c r="B20" s="8"/>
      <c r="C20" s="8"/>
      <c r="D20" s="13"/>
      <c r="E20" s="13"/>
      <c r="F20" s="13"/>
      <c r="G20" s="13"/>
      <c r="H20" s="13"/>
      <c r="I20" s="13"/>
      <c r="K20" s="12"/>
    </row>
    <row r="21" spans="1:13" ht="15" thickBot="1">
      <c r="A21" s="3"/>
      <c r="B21" s="8" t="s">
        <v>5</v>
      </c>
      <c r="C21" s="8"/>
      <c r="D21" s="14">
        <f>SUM(D12:D19)</f>
        <v>107940914.86866008</v>
      </c>
      <c r="E21" s="15"/>
      <c r="F21" s="14">
        <f>SUM(F12:F19)</f>
        <v>224046588.4844026</v>
      </c>
      <c r="G21" s="15"/>
      <c r="H21" s="14">
        <f>SUM(H12:H19)</f>
        <v>227812325.15929231</v>
      </c>
      <c r="I21" s="15"/>
    </row>
    <row r="22" spans="1:13" ht="15" thickTop="1">
      <c r="A22" s="3"/>
      <c r="B22" s="8"/>
      <c r="C22" s="8"/>
      <c r="D22" s="3"/>
      <c r="E22" s="3"/>
      <c r="F22" s="3"/>
      <c r="G22" s="3"/>
      <c r="H22" s="3"/>
      <c r="I22" s="3"/>
    </row>
    <row r="23" spans="1:13">
      <c r="A23" s="3"/>
      <c r="B23" s="16" t="s">
        <v>6</v>
      </c>
      <c r="C23" s="8"/>
      <c r="D23" s="85">
        <f>'Cost of Capital'!$D$12</f>
        <v>9.1399999999999995E-2</v>
      </c>
      <c r="E23" s="3"/>
      <c r="F23" s="85">
        <f>'Cost of Capital'!$D$12</f>
        <v>9.1399999999999995E-2</v>
      </c>
      <c r="G23" s="3"/>
      <c r="H23" s="85">
        <f>'Cost of Capital'!$D$12</f>
        <v>9.1399999999999995E-2</v>
      </c>
      <c r="I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</row>
    <row r="25" spans="1:13">
      <c r="A25" s="3"/>
      <c r="B25" s="18" t="s">
        <v>20</v>
      </c>
      <c r="C25" s="19"/>
      <c r="D25" s="86">
        <f>D23*D21</f>
        <v>9865799.6189955305</v>
      </c>
      <c r="E25" s="20"/>
      <c r="F25" s="86">
        <f>F23*F21</f>
        <v>20477858.187474396</v>
      </c>
      <c r="G25" s="20"/>
      <c r="H25" s="86">
        <f>H23*H21</f>
        <v>20822046.519559316</v>
      </c>
      <c r="I25" s="20"/>
    </row>
    <row r="26" spans="1:13">
      <c r="A26" s="3"/>
      <c r="B26" s="18"/>
      <c r="C26" s="19"/>
      <c r="D26" s="3"/>
      <c r="E26" s="3"/>
      <c r="F26" s="3"/>
      <c r="G26" s="3"/>
      <c r="H26" s="3"/>
      <c r="I26" s="3"/>
    </row>
    <row r="27" spans="1:13">
      <c r="A27" s="3"/>
      <c r="B27" s="21" t="s">
        <v>7</v>
      </c>
      <c r="C27" s="22"/>
      <c r="D27" s="3"/>
      <c r="E27" s="3"/>
      <c r="F27" s="3"/>
      <c r="G27" s="3"/>
      <c r="H27" s="3"/>
      <c r="I27" s="3"/>
    </row>
    <row r="28" spans="1:13">
      <c r="A28" s="3"/>
      <c r="B28" s="3" t="s">
        <v>8</v>
      </c>
      <c r="C28" s="3"/>
      <c r="D28" s="6">
        <f>'O&amp;M Expenses'!F27</f>
        <v>450000</v>
      </c>
      <c r="E28" s="6"/>
      <c r="F28" s="6">
        <f>'O&amp;M Expenses'!G27</f>
        <v>1050000</v>
      </c>
      <c r="G28" s="6"/>
      <c r="H28" s="6">
        <f>'O&amp;M Expenses'!H27</f>
        <v>1200000</v>
      </c>
      <c r="I28" s="6"/>
    </row>
    <row r="29" spans="1:13">
      <c r="A29" s="3"/>
      <c r="B29" s="3" t="s">
        <v>9</v>
      </c>
      <c r="C29" s="3"/>
      <c r="D29" s="11">
        <f>Depreciation!I34+Depreciation!I50</f>
        <v>10776975.536700003</v>
      </c>
      <c r="E29" s="11"/>
      <c r="F29" s="11">
        <f>Depreciation!J34+Depreciation!J50</f>
        <v>22367684.305050001</v>
      </c>
      <c r="G29" s="11"/>
      <c r="H29" s="11">
        <f>Depreciation!K34+Depreciation!K50</f>
        <v>22563291.08961679</v>
      </c>
      <c r="I29" s="11"/>
    </row>
    <row r="30" spans="1:13">
      <c r="A30" s="3"/>
      <c r="B30" s="3" t="s">
        <v>14</v>
      </c>
      <c r="C30" s="23"/>
      <c r="D30" s="24">
        <f>SUM(Resources!P16+Resources!P9+Resources!P11+Resources!P12+Resources!P13+Resources!P14)</f>
        <v>919276.01328050997</v>
      </c>
      <c r="E30" s="11"/>
      <c r="F30" s="24">
        <f>Resources!P8+Resources!P10+Resources!P18+Resources!P21+Resources!P22+Resources!P23+Resources!P24+Resources!P25</f>
        <v>1907963.4712207653</v>
      </c>
      <c r="G30" s="11"/>
      <c r="H30" s="24">
        <f>Resources!P15+Resources!P17+Resources!P19+Resources!P20</f>
        <v>1920493.6739999999</v>
      </c>
      <c r="I30" s="11"/>
      <c r="J30" s="25"/>
      <c r="K30" s="26"/>
      <c r="L30" s="26"/>
      <c r="M30" s="27"/>
    </row>
    <row r="31" spans="1:13">
      <c r="A31" s="3"/>
      <c r="B31" s="3" t="s">
        <v>13</v>
      </c>
      <c r="C31" s="23"/>
      <c r="D31" s="24"/>
      <c r="E31" s="11"/>
      <c r="F31" s="24"/>
      <c r="G31" s="11"/>
      <c r="H31" s="24"/>
      <c r="I31" s="11"/>
      <c r="J31" s="25"/>
      <c r="K31" s="26"/>
      <c r="L31" s="26"/>
      <c r="M31" s="27"/>
    </row>
    <row r="32" spans="1:13">
      <c r="A32" s="3"/>
      <c r="B32" s="3" t="s">
        <v>15</v>
      </c>
      <c r="C32" s="28"/>
      <c r="D32" s="11">
        <v>46369.630359032562</v>
      </c>
      <c r="E32" s="11"/>
      <c r="F32" s="11">
        <v>96253.862342707886</v>
      </c>
      <c r="G32" s="11"/>
      <c r="H32" s="11">
        <v>97799.026098066926</v>
      </c>
      <c r="I32" s="11"/>
      <c r="K32" s="84"/>
      <c r="L32" s="84"/>
      <c r="M32" s="84"/>
    </row>
    <row r="33" spans="1:13">
      <c r="A33" s="3"/>
      <c r="B33" s="3" t="s">
        <v>16</v>
      </c>
      <c r="C33" s="28"/>
      <c r="D33" s="11">
        <v>0</v>
      </c>
      <c r="E33" s="11"/>
      <c r="F33" s="11">
        <v>0</v>
      </c>
      <c r="G33" s="11"/>
      <c r="H33" s="11">
        <f>Taxes!F40</f>
        <v>1522.7166243586171</v>
      </c>
      <c r="I33" s="11"/>
      <c r="K33" s="26"/>
      <c r="L33" s="26"/>
      <c r="M33" s="26"/>
    </row>
    <row r="34" spans="1:13">
      <c r="A34" s="3"/>
      <c r="B34" s="3" t="s">
        <v>17</v>
      </c>
      <c r="C34" s="28"/>
      <c r="D34" s="11">
        <v>0</v>
      </c>
      <c r="E34" s="11"/>
      <c r="F34" s="11">
        <v>0</v>
      </c>
      <c r="G34" s="11"/>
      <c r="H34" s="11">
        <v>0</v>
      </c>
      <c r="I34" s="11"/>
    </row>
    <row r="35" spans="1:13">
      <c r="A35" s="3"/>
      <c r="B35" s="3" t="s">
        <v>18</v>
      </c>
      <c r="C35" s="3"/>
      <c r="D35" s="11">
        <f>'Income Statement'!B25</f>
        <v>113281.60302443751</v>
      </c>
      <c r="E35" s="11"/>
      <c r="F35" s="11">
        <f>'Income Statement'!D25</f>
        <v>235116.71947215911</v>
      </c>
      <c r="G35" s="11"/>
      <c r="H35" s="11">
        <f>'Income Statement'!F25</f>
        <v>237962.63383661167</v>
      </c>
      <c r="I35" s="11"/>
    </row>
    <row r="36" spans="1:13">
      <c r="A36" s="3"/>
      <c r="B36" s="3"/>
      <c r="C36" s="3"/>
      <c r="D36" s="9"/>
      <c r="E36" s="29"/>
      <c r="F36" s="9"/>
      <c r="G36" s="29"/>
      <c r="H36" s="9"/>
      <c r="I36" s="29"/>
    </row>
    <row r="37" spans="1:13">
      <c r="A37" s="3"/>
      <c r="B37" s="31" t="s">
        <v>10</v>
      </c>
      <c r="C37" s="3"/>
      <c r="D37" s="37">
        <f>SUM(D28:D35)</f>
        <v>12305902.783363985</v>
      </c>
      <c r="E37" s="30"/>
      <c r="F37" s="37">
        <f>SUM(F28:F35)</f>
        <v>25657018.358085632</v>
      </c>
      <c r="G37" s="30"/>
      <c r="H37" s="37">
        <f>SUM(H28:H35)</f>
        <v>26021069.140175823</v>
      </c>
      <c r="I37" s="30"/>
    </row>
    <row r="38" spans="1:13">
      <c r="A38" s="3"/>
      <c r="B38" s="32"/>
      <c r="C38" s="3"/>
      <c r="D38" s="3"/>
      <c r="E38" s="30"/>
      <c r="F38" s="3"/>
      <c r="G38" s="30"/>
      <c r="H38" s="3"/>
      <c r="I38" s="30"/>
    </row>
    <row r="39" spans="1:13" ht="15" thickBot="1">
      <c r="A39" s="3"/>
      <c r="B39" s="33" t="s">
        <v>11</v>
      </c>
      <c r="C39" s="3"/>
      <c r="D39" s="36">
        <f>D37+D25</f>
        <v>22171702.402359515</v>
      </c>
      <c r="E39" s="34"/>
      <c r="F39" s="36">
        <f>F37+F25</f>
        <v>46134876.545560032</v>
      </c>
      <c r="G39" s="34"/>
      <c r="H39" s="36">
        <f>H37+H25</f>
        <v>46843115.659735143</v>
      </c>
      <c r="I39" s="34"/>
      <c r="J39" s="120"/>
    </row>
    <row r="40" spans="1:13" ht="15" thickTop="1">
      <c r="A40" s="3"/>
      <c r="B40" s="1"/>
      <c r="C40" s="3"/>
      <c r="D40" s="34"/>
      <c r="E40" s="34"/>
      <c r="F40" s="34"/>
      <c r="G40" s="34"/>
      <c r="H40" s="34"/>
      <c r="I40" s="34"/>
    </row>
    <row r="41" spans="1:13">
      <c r="A41" s="3"/>
      <c r="B41" s="121"/>
      <c r="C41" s="121"/>
      <c r="D41" s="121"/>
      <c r="E41" s="121"/>
      <c r="F41" s="121"/>
      <c r="G41" s="1"/>
      <c r="H41" s="3"/>
      <c r="I41" s="1"/>
    </row>
  </sheetData>
  <mergeCells count="7">
    <mergeCell ref="A2:I2"/>
    <mergeCell ref="A1:I1"/>
    <mergeCell ref="B41:F41"/>
    <mergeCell ref="A6:I6"/>
    <mergeCell ref="A5:I5"/>
    <mergeCell ref="A4:I4"/>
    <mergeCell ref="A3:I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22881-DFF5-4A56-B113-C9A2B8E6B90F}">
  <dimension ref="A1:J52"/>
  <sheetViews>
    <sheetView workbookViewId="0">
      <selection activeCell="B27" sqref="B27"/>
    </sheetView>
  </sheetViews>
  <sheetFormatPr defaultRowHeight="14.4"/>
  <cols>
    <col min="1" max="1" width="27.109375" bestFit="1" customWidth="1"/>
    <col min="2" max="2" width="13.109375" bestFit="1" customWidth="1"/>
    <col min="3" max="3" width="13.88671875" customWidth="1"/>
    <col min="4" max="4" width="15.21875" customWidth="1"/>
    <col min="5" max="5" width="12.109375" bestFit="1" customWidth="1"/>
    <col min="6" max="6" width="10.21875" customWidth="1"/>
    <col min="7" max="7" width="12.77734375" customWidth="1"/>
    <col min="9" max="9" width="11.109375" customWidth="1"/>
    <col min="10" max="13" width="12.77734375" bestFit="1" customWidth="1"/>
    <col min="15" max="18" width="12.77734375" bestFit="1" customWidth="1"/>
    <col min="19" max="19" width="7.109375" customWidth="1"/>
    <col min="20" max="21" width="12.77734375" customWidth="1"/>
    <col min="22" max="23" width="12.77734375" bestFit="1" customWidth="1"/>
  </cols>
  <sheetData>
    <row r="1" spans="1:6">
      <c r="A1" s="121" t="s">
        <v>12</v>
      </c>
      <c r="B1" s="121"/>
      <c r="C1" s="121"/>
      <c r="D1" s="121"/>
      <c r="E1" s="121"/>
      <c r="F1" s="121"/>
    </row>
    <row r="2" spans="1:6">
      <c r="A2" s="121" t="str">
        <f>'Revenue Requirement'!A2</f>
        <v>Clean Energy Transistion Plan Project 1</v>
      </c>
      <c r="B2" s="121"/>
      <c r="C2" s="121"/>
      <c r="D2" s="121"/>
      <c r="E2" s="121"/>
      <c r="F2" s="121"/>
    </row>
    <row r="3" spans="1:6">
      <c r="A3" s="121" t="str">
        <f>'Revenue Requirement'!A3</f>
        <v>Battery Energy Storage Systems</v>
      </c>
      <c r="B3" s="121"/>
      <c r="C3" s="121"/>
      <c r="D3" s="121"/>
      <c r="E3" s="121"/>
      <c r="F3" s="121"/>
    </row>
    <row r="4" spans="1:6">
      <c r="A4" s="123" t="s">
        <v>21</v>
      </c>
      <c r="B4" s="123"/>
      <c r="C4" s="123"/>
      <c r="D4" s="123"/>
      <c r="E4" s="123"/>
      <c r="F4" s="123"/>
    </row>
    <row r="7" spans="1:6">
      <c r="A7" s="5"/>
      <c r="B7" s="5"/>
      <c r="C7" s="1" t="s">
        <v>22</v>
      </c>
      <c r="D7" s="1" t="s">
        <v>23</v>
      </c>
    </row>
    <row r="8" spans="1:6">
      <c r="A8" s="38" t="s">
        <v>21</v>
      </c>
      <c r="B8" s="4" t="s">
        <v>24</v>
      </c>
      <c r="C8" s="4" t="s">
        <v>25</v>
      </c>
      <c r="D8" s="4" t="s">
        <v>26</v>
      </c>
    </row>
    <row r="9" spans="1:6">
      <c r="A9" s="39" t="s">
        <v>27</v>
      </c>
      <c r="B9" s="40">
        <v>0.11749999999999999</v>
      </c>
      <c r="C9" s="40">
        <v>0.55000000000000004</v>
      </c>
      <c r="D9" s="40">
        <f>ROUND(+B9*C9,4)</f>
        <v>6.4600000000000005E-2</v>
      </c>
    </row>
    <row r="10" spans="1:6">
      <c r="A10" s="39" t="s">
        <v>28</v>
      </c>
      <c r="B10" s="113">
        <f>F40</f>
        <v>5.9586679681719427E-2</v>
      </c>
      <c r="C10" s="40">
        <v>0.45</v>
      </c>
      <c r="D10" s="40">
        <f>ROUND(+B10*C10,4)</f>
        <v>2.6800000000000001E-2</v>
      </c>
    </row>
    <row r="11" spans="1:6">
      <c r="A11" s="39"/>
      <c r="B11" s="17"/>
      <c r="C11" s="40"/>
      <c r="D11" s="40"/>
    </row>
    <row r="12" spans="1:6" ht="15" thickBot="1">
      <c r="A12" s="35" t="s">
        <v>29</v>
      </c>
      <c r="B12" s="3"/>
      <c r="C12" s="41">
        <v>1</v>
      </c>
      <c r="D12" s="41">
        <f>ROUND(SUM(D9:D10),4)</f>
        <v>9.1399999999999995E-2</v>
      </c>
    </row>
    <row r="13" spans="1:6" ht="15" thickTop="1"/>
    <row r="15" spans="1:6">
      <c r="B15" s="42"/>
    </row>
    <row r="20" spans="1:6" ht="35.549999999999997" customHeight="1">
      <c r="A20" s="46" t="s">
        <v>31</v>
      </c>
      <c r="B20" s="47" t="s">
        <v>32</v>
      </c>
      <c r="C20" s="48" t="s">
        <v>33</v>
      </c>
      <c r="D20" s="55" t="s">
        <v>145</v>
      </c>
      <c r="E20" s="48" t="s">
        <v>34</v>
      </c>
      <c r="F20" s="47" t="s">
        <v>149</v>
      </c>
    </row>
    <row r="21" spans="1:6">
      <c r="A21" s="49" t="s">
        <v>35</v>
      </c>
      <c r="B21" s="50">
        <v>2.2499999999999999E-2</v>
      </c>
      <c r="C21" s="51">
        <v>2024</v>
      </c>
      <c r="D21" s="52">
        <v>34500000</v>
      </c>
      <c r="E21" s="42">
        <f>D21/$D$40</f>
        <v>4.3463402643797888E-2</v>
      </c>
      <c r="F21" s="45">
        <f t="shared" ref="F21:F27" si="0">B21*E21</f>
        <v>9.7792655948545238E-4</v>
      </c>
    </row>
    <row r="22" spans="1:6">
      <c r="A22" s="51" t="s">
        <v>35</v>
      </c>
      <c r="B22" s="50">
        <v>4.4999999999999998E-2</v>
      </c>
      <c r="C22" s="51">
        <v>2025</v>
      </c>
      <c r="D22" s="52">
        <v>13517868.779999999</v>
      </c>
      <c r="E22" s="42">
        <f t="shared" ref="E22:E27" si="1">D22/$D$40</f>
        <v>1.7029929671627968E-2</v>
      </c>
      <c r="F22" s="45">
        <f t="shared" si="0"/>
        <v>7.663468352232585E-4</v>
      </c>
    </row>
    <row r="23" spans="1:6">
      <c r="A23" s="49" t="s">
        <v>35</v>
      </c>
      <c r="B23" s="50">
        <v>2.0500000000000001E-2</v>
      </c>
      <c r="C23" s="51">
        <v>2025</v>
      </c>
      <c r="D23" s="52">
        <v>96024069</v>
      </c>
      <c r="E23" s="42">
        <f t="shared" si="1"/>
        <v>0.1209719644766038</v>
      </c>
      <c r="F23" s="45">
        <f t="shared" si="0"/>
        <v>2.4799252717703779E-3</v>
      </c>
    </row>
    <row r="24" spans="1:6">
      <c r="A24" s="49" t="s">
        <v>36</v>
      </c>
      <c r="B24" s="50">
        <v>5.8749999999999997E-2</v>
      </c>
      <c r="C24" s="51">
        <v>2025</v>
      </c>
      <c r="D24" s="52">
        <v>20000000</v>
      </c>
      <c r="E24" s="42">
        <f t="shared" si="1"/>
        <v>2.5196175445679935E-2</v>
      </c>
      <c r="F24" s="45">
        <f t="shared" si="0"/>
        <v>1.4802753074336962E-3</v>
      </c>
    </row>
    <row r="25" spans="1:6">
      <c r="A25" s="49" t="s">
        <v>35</v>
      </c>
      <c r="B25" s="50">
        <v>2.0500000000000001E-2</v>
      </c>
      <c r="C25" s="51">
        <v>2026</v>
      </c>
      <c r="D25" s="52">
        <v>25500000</v>
      </c>
      <c r="E25" s="42">
        <f t="shared" si="1"/>
        <v>3.2125123693241921E-2</v>
      </c>
      <c r="F25" s="45">
        <f t="shared" si="0"/>
        <v>6.5856503571145935E-4</v>
      </c>
    </row>
    <row r="26" spans="1:6">
      <c r="A26" s="49" t="s">
        <v>37</v>
      </c>
      <c r="B26" s="50">
        <v>1.8499999999999999E-2</v>
      </c>
      <c r="C26" s="51">
        <v>2028</v>
      </c>
      <c r="D26" s="52">
        <v>18000000</v>
      </c>
      <c r="E26" s="42">
        <f t="shared" si="1"/>
        <v>2.2676557901111942E-2</v>
      </c>
      <c r="F26" s="45">
        <f t="shared" si="0"/>
        <v>4.1951632117057092E-4</v>
      </c>
    </row>
    <row r="27" spans="1:6">
      <c r="A27" s="49" t="s">
        <v>38</v>
      </c>
      <c r="B27" s="50">
        <v>3.5000000000000003E-2</v>
      </c>
      <c r="C27" s="51">
        <v>2040</v>
      </c>
      <c r="D27" s="52">
        <v>20000000</v>
      </c>
      <c r="E27" s="42">
        <f t="shared" si="1"/>
        <v>2.5196175445679935E-2</v>
      </c>
      <c r="F27" s="45">
        <f t="shared" si="0"/>
        <v>8.8186614059879783E-4</v>
      </c>
    </row>
    <row r="28" spans="1:6">
      <c r="A28" s="51"/>
      <c r="B28" s="50"/>
      <c r="D28" s="53">
        <f>SUM(D21:D27)</f>
        <v>227541937.78</v>
      </c>
    </row>
    <row r="29" spans="1:6">
      <c r="A29" s="51"/>
      <c r="B29" s="50"/>
      <c r="D29" s="52"/>
    </row>
    <row r="30" spans="1:6">
      <c r="A30" s="49" t="s">
        <v>39</v>
      </c>
      <c r="B30" s="42">
        <v>2.0500000000000001E-2</v>
      </c>
      <c r="D30" s="52">
        <v>10905511</v>
      </c>
      <c r="E30" s="42">
        <f t="shared" ref="E30:E31" si="2">D30/$D$40</f>
        <v>1.3738858424039622E-2</v>
      </c>
      <c r="F30" s="45">
        <f>B30*E30</f>
        <v>2.8164659769281227E-4</v>
      </c>
    </row>
    <row r="31" spans="1:6">
      <c r="A31" s="49" t="s">
        <v>40</v>
      </c>
      <c r="B31" s="42">
        <v>1.8499999999999999E-2</v>
      </c>
      <c r="D31" s="112">
        <v>27000000</v>
      </c>
      <c r="E31" s="42">
        <f t="shared" si="2"/>
        <v>3.4014836851667916E-2</v>
      </c>
      <c r="F31" s="45">
        <f>B31*E31</f>
        <v>6.2927448175585643E-4</v>
      </c>
    </row>
    <row r="32" spans="1:6">
      <c r="A32" s="49" t="s">
        <v>41</v>
      </c>
      <c r="B32" s="42">
        <f>I32</f>
        <v>0</v>
      </c>
      <c r="D32" s="110">
        <f>D28+D30+D31</f>
        <v>265447448.78</v>
      </c>
      <c r="E32" s="54"/>
    </row>
    <row r="33" spans="1:10">
      <c r="A33" s="49"/>
      <c r="B33" s="42"/>
      <c r="D33" s="52"/>
      <c r="E33" s="54"/>
    </row>
    <row r="34" spans="1:10">
      <c r="A34" s="49"/>
      <c r="B34" s="42"/>
      <c r="D34" s="52"/>
      <c r="E34" s="54"/>
    </row>
    <row r="35" spans="1:10">
      <c r="A35" s="49" t="s">
        <v>147</v>
      </c>
      <c r="B35" s="45">
        <v>3.5000000000000003E-2</v>
      </c>
      <c r="C35">
        <f>2023+15</f>
        <v>2038</v>
      </c>
      <c r="D35" s="52">
        <v>39633339.044806495</v>
      </c>
      <c r="E35" s="42">
        <f t="shared" ref="E35:E37" si="3">D35/$D$40</f>
        <v>4.9930428203553069E-2</v>
      </c>
      <c r="F35" s="45">
        <f t="shared" ref="F35" si="4">B35*E35</f>
        <v>1.7475649871243576E-3</v>
      </c>
      <c r="J35" s="43"/>
    </row>
    <row r="36" spans="1:10">
      <c r="A36" s="49" t="s">
        <v>148</v>
      </c>
      <c r="B36" s="45">
        <v>3.5000000000000003E-2</v>
      </c>
      <c r="C36">
        <f>2024+15</f>
        <v>2039</v>
      </c>
      <c r="D36" s="52">
        <v>48690474.925673395</v>
      </c>
      <c r="E36" s="42">
        <f t="shared" ref="E36" si="5">D36/$D$40</f>
        <v>6.1340687438037333E-2</v>
      </c>
      <c r="F36" s="45">
        <f t="shared" ref="F36" si="6">B36*E36</f>
        <v>2.1469240603313069E-3</v>
      </c>
      <c r="J36" s="43"/>
    </row>
    <row r="37" spans="1:10">
      <c r="A37" s="49" t="s">
        <v>146</v>
      </c>
      <c r="B37" s="45">
        <v>8.5000000000000006E-2</v>
      </c>
      <c r="C37">
        <v>2040</v>
      </c>
      <c r="D37" s="52">
        <v>440000000</v>
      </c>
      <c r="E37" s="42">
        <f t="shared" si="3"/>
        <v>0.55431585980495857</v>
      </c>
      <c r="F37" s="45">
        <f t="shared" ref="F37" si="7">B37*E37</f>
        <v>4.7116848083421481E-2</v>
      </c>
      <c r="J37" s="43"/>
    </row>
    <row r="38" spans="1:10">
      <c r="D38" s="110">
        <f>SUM(D35:D37)</f>
        <v>528323813.97047991</v>
      </c>
      <c r="E38" s="45"/>
      <c r="F38" s="45"/>
    </row>
    <row r="39" spans="1:10">
      <c r="D39" s="53"/>
      <c r="E39" s="45"/>
      <c r="F39" s="45"/>
    </row>
    <row r="40" spans="1:10" ht="15" thickBot="1">
      <c r="D40" s="102">
        <f>D32+D38</f>
        <v>793771262.75047994</v>
      </c>
      <c r="E40" s="111">
        <f>SUM(E21:E37)</f>
        <v>0.99999999999999978</v>
      </c>
      <c r="F40" s="114">
        <f>SUM(F21:F37)</f>
        <v>5.9586679681719427E-2</v>
      </c>
    </row>
    <row r="41" spans="1:10">
      <c r="D41" s="52"/>
      <c r="E41" s="52"/>
      <c r="F41" s="101"/>
      <c r="G41" s="54"/>
    </row>
    <row r="42" spans="1:10">
      <c r="D42" s="52"/>
      <c r="G42" s="100"/>
    </row>
    <row r="43" spans="1:10">
      <c r="A43" s="49"/>
      <c r="C43" s="42"/>
      <c r="D43" s="52"/>
      <c r="G43" s="100"/>
    </row>
    <row r="44" spans="1:10">
      <c r="D44" s="52"/>
      <c r="G44" s="100"/>
    </row>
    <row r="45" spans="1:10">
      <c r="D45" s="52"/>
      <c r="G45" s="100"/>
    </row>
    <row r="46" spans="1:10">
      <c r="D46" s="52"/>
      <c r="G46" s="100"/>
    </row>
    <row r="47" spans="1:10">
      <c r="D47" s="52"/>
      <c r="G47" s="100"/>
    </row>
    <row r="48" spans="1:10">
      <c r="D48" s="52"/>
      <c r="G48" s="100"/>
    </row>
    <row r="52" spans="5:7">
      <c r="E52" s="52"/>
      <c r="F52" s="101"/>
      <c r="G52" s="54"/>
    </row>
  </sheetData>
  <mergeCells count="4">
    <mergeCell ref="A1:F1"/>
    <mergeCell ref="A2:F2"/>
    <mergeCell ref="A3:F3"/>
    <mergeCell ref="A4:F4"/>
  </mergeCells>
  <phoneticPr fontId="16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633B8-65B1-472A-9FEF-A77CD475CED5}">
  <dimension ref="A1:Z33"/>
  <sheetViews>
    <sheetView topLeftCell="C1" zoomScale="80" zoomScaleNormal="80" workbookViewId="0">
      <selection activeCell="Q20" sqref="Q20"/>
    </sheetView>
  </sheetViews>
  <sheetFormatPr defaultRowHeight="14.4" outlineLevelCol="1"/>
  <cols>
    <col min="2" max="2" width="48.21875" customWidth="1"/>
    <col min="3" max="3" width="10.109375" customWidth="1"/>
    <col min="4" max="4" width="9.33203125" customWidth="1"/>
    <col min="5" max="5" width="13.5546875" customWidth="1"/>
    <col min="6" max="6" width="12.21875" customWidth="1"/>
    <col min="7" max="7" width="14.44140625" customWidth="1"/>
    <col min="8" max="8" width="7.77734375" customWidth="1"/>
    <col min="9" max="9" width="14.21875" customWidth="1"/>
    <col min="10" max="10" width="1.5546875" customWidth="1"/>
    <col min="11" max="11" width="12.88671875" customWidth="1"/>
    <col min="12" max="12" width="1.88671875" customWidth="1"/>
    <col min="13" max="13" width="11.77734375" bestFit="1" customWidth="1"/>
    <col min="14" max="14" width="2.21875" customWidth="1"/>
    <col min="15" max="16" width="10.44140625" hidden="1" customWidth="1" outlineLevel="1"/>
    <col min="17" max="17" width="11.5546875" hidden="1" customWidth="1" outlineLevel="1"/>
    <col min="18" max="19" width="10.77734375" hidden="1" customWidth="1" outlineLevel="1"/>
    <col min="20" max="20" width="9.5546875" hidden="1" customWidth="1" outlineLevel="1"/>
    <col min="21" max="21" width="11.77734375" bestFit="1" customWidth="1" collapsed="1"/>
    <col min="22" max="22" width="14.44140625" bestFit="1" customWidth="1"/>
    <col min="23" max="23" width="13.21875" customWidth="1"/>
    <col min="24" max="24" width="11.44140625" customWidth="1"/>
    <col min="26" max="26" width="11.44140625" bestFit="1" customWidth="1"/>
  </cols>
  <sheetData>
    <row r="1" spans="1:26">
      <c r="H1" s="121" t="s">
        <v>12</v>
      </c>
      <c r="I1" s="121"/>
      <c r="J1" s="121"/>
      <c r="K1" s="121"/>
      <c r="L1" s="121"/>
      <c r="M1" s="121"/>
      <c r="N1" s="121"/>
      <c r="O1" s="121"/>
      <c r="P1" s="121"/>
    </row>
    <row r="2" spans="1:26">
      <c r="H2" s="121" t="str">
        <f>'Revenue Requirement'!A2</f>
        <v>Clean Energy Transistion Plan Project 1</v>
      </c>
      <c r="I2" s="121"/>
      <c r="J2" s="121"/>
      <c r="K2" s="121"/>
      <c r="L2" s="121"/>
      <c r="M2" s="121"/>
      <c r="N2" s="121"/>
      <c r="O2" s="121"/>
      <c r="P2" s="121"/>
    </row>
    <row r="3" spans="1:26">
      <c r="H3" s="121" t="str">
        <f>'Revenue Requirement'!A3</f>
        <v>Battery Energy Storage Systems</v>
      </c>
      <c r="I3" s="121"/>
      <c r="J3" s="121"/>
      <c r="K3" s="121"/>
      <c r="L3" s="121"/>
      <c r="M3" s="121"/>
      <c r="N3" s="121"/>
      <c r="O3" s="121"/>
      <c r="P3" s="121"/>
    </row>
    <row r="4" spans="1:26">
      <c r="H4" s="121" t="s">
        <v>157</v>
      </c>
      <c r="I4" s="121"/>
      <c r="J4" s="121"/>
      <c r="K4" s="121"/>
      <c r="L4" s="121"/>
      <c r="M4" s="121"/>
      <c r="N4" s="121"/>
      <c r="O4" s="121"/>
      <c r="P4" s="121"/>
    </row>
    <row r="6" spans="1:26">
      <c r="K6" s="92"/>
      <c r="O6" s="124"/>
      <c r="P6" s="125"/>
      <c r="Q6" s="125"/>
      <c r="R6" s="125"/>
    </row>
    <row r="7" spans="1:26" ht="36.450000000000003" customHeight="1">
      <c r="A7" s="92" t="s">
        <v>119</v>
      </c>
      <c r="B7" s="92" t="s">
        <v>120</v>
      </c>
      <c r="C7" s="92" t="s">
        <v>118</v>
      </c>
      <c r="D7" s="99" t="s">
        <v>57</v>
      </c>
      <c r="E7" s="99" t="s">
        <v>121</v>
      </c>
      <c r="F7" s="99" t="s">
        <v>123</v>
      </c>
      <c r="G7" s="99" t="s">
        <v>124</v>
      </c>
      <c r="H7" s="99" t="s">
        <v>142</v>
      </c>
      <c r="I7" s="99" t="s">
        <v>125</v>
      </c>
      <c r="J7" s="72"/>
      <c r="K7" s="92" t="s">
        <v>99</v>
      </c>
      <c r="L7" s="72"/>
      <c r="M7" s="92" t="s">
        <v>130</v>
      </c>
      <c r="N7" s="92"/>
      <c r="O7" s="92" t="s">
        <v>122</v>
      </c>
      <c r="P7" s="92" t="s">
        <v>14</v>
      </c>
      <c r="Q7" s="92" t="s">
        <v>9</v>
      </c>
      <c r="R7" s="92" t="s">
        <v>129</v>
      </c>
      <c r="S7" s="98" t="s">
        <v>141</v>
      </c>
      <c r="T7" s="98" t="s">
        <v>131</v>
      </c>
      <c r="U7" s="98" t="s">
        <v>133</v>
      </c>
      <c r="V7" s="98" t="s">
        <v>132</v>
      </c>
      <c r="W7" s="98" t="s">
        <v>143</v>
      </c>
      <c r="X7" s="98" t="s">
        <v>144</v>
      </c>
    </row>
    <row r="8" spans="1:26">
      <c r="A8" s="91" t="s">
        <v>100</v>
      </c>
      <c r="B8" t="s">
        <v>46</v>
      </c>
      <c r="C8" s="117">
        <v>46022</v>
      </c>
      <c r="D8">
        <v>10</v>
      </c>
      <c r="E8" s="88">
        <v>49500000</v>
      </c>
      <c r="F8" s="88">
        <f>Depreciation!F7</f>
        <v>6786450</v>
      </c>
      <c r="G8" s="57">
        <f>E8+F8</f>
        <v>56286450</v>
      </c>
      <c r="H8" s="57">
        <v>0</v>
      </c>
      <c r="I8" s="88">
        <f>SUM(O8:P8)*12.5%</f>
        <v>97515.427312499989</v>
      </c>
      <c r="J8" s="88"/>
      <c r="K8" s="88">
        <f>SUM(G8:I8)</f>
        <v>56383965.427312501</v>
      </c>
      <c r="L8" s="88"/>
      <c r="M8" s="88">
        <f>K8*'Revenue Requirement'!$F$23</f>
        <v>5153494.4400563622</v>
      </c>
      <c r="N8" s="88"/>
      <c r="O8" s="89">
        <v>300000</v>
      </c>
      <c r="P8" s="88">
        <f>G8*0.853%</f>
        <v>480123.41849999997</v>
      </c>
      <c r="Q8" s="88">
        <f>G8*10%</f>
        <v>5628645</v>
      </c>
      <c r="R8" s="119">
        <v>24225.627682078259</v>
      </c>
      <c r="S8" s="119">
        <v>0</v>
      </c>
      <c r="T8" s="119">
        <v>59165.201431897294</v>
      </c>
      <c r="U8" s="88">
        <f>SUM(O8:T8)</f>
        <v>6492159.2476139758</v>
      </c>
      <c r="V8" s="88">
        <f t="shared" ref="V8:V25" si="0">U8+M8</f>
        <v>11645653.687670339</v>
      </c>
      <c r="W8" s="88">
        <v>947052765.39099205</v>
      </c>
      <c r="X8" s="108">
        <f t="shared" ref="X8:X16" si="1">V8/W8</f>
        <v>1.2296731621772325E-2</v>
      </c>
      <c r="Z8" s="89"/>
    </row>
    <row r="9" spans="1:26">
      <c r="A9" s="91" t="s">
        <v>101</v>
      </c>
      <c r="B9" t="s">
        <v>47</v>
      </c>
      <c r="C9" s="117">
        <v>45657</v>
      </c>
      <c r="D9">
        <v>10</v>
      </c>
      <c r="E9" s="88">
        <v>49500000</v>
      </c>
      <c r="F9" s="88">
        <f>Depreciation!F8</f>
        <v>5655375</v>
      </c>
      <c r="G9" s="57">
        <f t="shared" ref="G9:G25" si="2">E9+F9</f>
        <v>55155375</v>
      </c>
      <c r="H9" s="57">
        <v>0</v>
      </c>
      <c r="I9" s="88">
        <f t="shared" ref="I9:I25" si="3">SUM(O9:P9)*12.5%</f>
        <v>96309.418593749986</v>
      </c>
      <c r="J9" s="88"/>
      <c r="K9" s="88">
        <f t="shared" ref="K9:K25" si="4">SUM(G9:I9)</f>
        <v>55251684.418593749</v>
      </c>
      <c r="L9" s="88"/>
      <c r="M9" s="88">
        <f>K9*'Revenue Requirement'!$F$23</f>
        <v>5050003.9558594683</v>
      </c>
      <c r="N9" s="88"/>
      <c r="O9" s="89">
        <v>300000</v>
      </c>
      <c r="P9" s="88">
        <f t="shared" ref="P9:P25" si="5">G9*0.853%</f>
        <v>470475.34874999995</v>
      </c>
      <c r="Q9" s="88">
        <f t="shared" ref="Q9:Q25" si="6">G9*10%</f>
        <v>5515537.5</v>
      </c>
      <c r="R9" s="119">
        <v>23739.50992541224</v>
      </c>
      <c r="S9" s="119">
        <v>0</v>
      </c>
      <c r="T9" s="119">
        <v>57976.27798389901</v>
      </c>
      <c r="U9" s="88">
        <f t="shared" ref="U9:U25" si="7">SUM(O9:T9)</f>
        <v>6367728.6366593111</v>
      </c>
      <c r="V9" s="88">
        <f t="shared" si="0"/>
        <v>11417732.59251878</v>
      </c>
      <c r="W9" s="88">
        <v>947052765.39099205</v>
      </c>
      <c r="X9" s="108">
        <f t="shared" si="1"/>
        <v>1.2056068056361098E-2</v>
      </c>
    </row>
    <row r="10" spans="1:26">
      <c r="A10" s="91" t="s">
        <v>102</v>
      </c>
      <c r="B10" t="s">
        <v>48</v>
      </c>
      <c r="C10" s="117">
        <v>46022</v>
      </c>
      <c r="D10">
        <v>10</v>
      </c>
      <c r="E10" s="88">
        <v>49500000</v>
      </c>
      <c r="F10" s="88">
        <f>Depreciation!F9</f>
        <v>6786450</v>
      </c>
      <c r="G10" s="57">
        <f t="shared" si="2"/>
        <v>56286450</v>
      </c>
      <c r="H10" s="57">
        <v>0</v>
      </c>
      <c r="I10" s="88">
        <f t="shared" si="3"/>
        <v>97515.427312499989</v>
      </c>
      <c r="J10" s="88"/>
      <c r="K10" s="88">
        <f t="shared" si="4"/>
        <v>56383965.427312501</v>
      </c>
      <c r="L10" s="88"/>
      <c r="M10" s="88">
        <f>K10*'Revenue Requirement'!$F$23</f>
        <v>5153494.4400563622</v>
      </c>
      <c r="N10" s="88"/>
      <c r="O10" s="89">
        <v>300000</v>
      </c>
      <c r="P10" s="88">
        <f t="shared" si="5"/>
        <v>480123.41849999997</v>
      </c>
      <c r="Q10" s="88">
        <f t="shared" si="6"/>
        <v>5628645</v>
      </c>
      <c r="R10" s="119">
        <f>$R$8</f>
        <v>24225.627682078259</v>
      </c>
      <c r="S10" s="119">
        <v>0</v>
      </c>
      <c r="T10" s="119">
        <f>$T$8</f>
        <v>59165.201431897294</v>
      </c>
      <c r="U10" s="88">
        <f t="shared" si="7"/>
        <v>6492159.2476139758</v>
      </c>
      <c r="V10" s="88">
        <f t="shared" si="0"/>
        <v>11645653.687670339</v>
      </c>
      <c r="W10" s="88">
        <v>947052765.39099205</v>
      </c>
      <c r="X10" s="108">
        <f t="shared" si="1"/>
        <v>1.2296731621772325E-2</v>
      </c>
    </row>
    <row r="11" spans="1:26">
      <c r="A11" s="91" t="s">
        <v>103</v>
      </c>
      <c r="B11" t="s">
        <v>54</v>
      </c>
      <c r="C11" s="117">
        <v>45657</v>
      </c>
      <c r="D11">
        <v>1</v>
      </c>
      <c r="E11" s="88">
        <v>9641631</v>
      </c>
      <c r="F11" s="88">
        <f>Depreciation!F10</f>
        <v>881245.07339999999</v>
      </c>
      <c r="G11" s="57">
        <f t="shared" si="2"/>
        <v>10522876.0734</v>
      </c>
      <c r="H11" s="57">
        <v>0</v>
      </c>
      <c r="I11" s="88">
        <f t="shared" si="3"/>
        <v>14970.016613262749</v>
      </c>
      <c r="J11" s="88"/>
      <c r="K11" s="88">
        <f t="shared" si="4"/>
        <v>10537846.090013264</v>
      </c>
      <c r="L11" s="88"/>
      <c r="M11" s="88">
        <f>K11*'Revenue Requirement'!$F$23</f>
        <v>963159.13262721221</v>
      </c>
      <c r="N11" s="88"/>
      <c r="O11" s="89">
        <v>30000</v>
      </c>
      <c r="P11" s="88">
        <f t="shared" si="5"/>
        <v>89760.132906101993</v>
      </c>
      <c r="Q11" s="88">
        <f t="shared" si="6"/>
        <v>1052287.6073400001</v>
      </c>
      <c r="R11" s="119">
        <v>4526.0241822271728</v>
      </c>
      <c r="S11" s="119">
        <v>0</v>
      </c>
      <c r="T11" s="119">
        <v>11061.065008107698</v>
      </c>
      <c r="U11" s="88">
        <f t="shared" si="7"/>
        <v>1187634.8294364372</v>
      </c>
      <c r="V11" s="88">
        <f t="shared" si="0"/>
        <v>2150793.9620636497</v>
      </c>
      <c r="W11" s="88">
        <v>947052765.39099205</v>
      </c>
      <c r="X11" s="108">
        <f t="shared" si="1"/>
        <v>2.2710392078055877E-3</v>
      </c>
      <c r="Z11" s="26"/>
    </row>
    <row r="12" spans="1:26">
      <c r="A12" s="91" t="s">
        <v>104</v>
      </c>
      <c r="B12" t="s">
        <v>55</v>
      </c>
      <c r="C12" s="117">
        <v>45657</v>
      </c>
      <c r="D12">
        <v>1</v>
      </c>
      <c r="E12" s="88">
        <v>9641631</v>
      </c>
      <c r="F12" s="88">
        <f>Depreciation!F11</f>
        <v>881245.07339999999</v>
      </c>
      <c r="G12" s="57">
        <f t="shared" si="2"/>
        <v>10522876.0734</v>
      </c>
      <c r="H12" s="57">
        <v>0</v>
      </c>
      <c r="I12" s="88">
        <f t="shared" si="3"/>
        <v>14970.016613262749</v>
      </c>
      <c r="J12" s="88"/>
      <c r="K12" s="88">
        <f t="shared" si="4"/>
        <v>10537846.090013264</v>
      </c>
      <c r="L12" s="88"/>
      <c r="M12" s="88">
        <f>K12*'Revenue Requirement'!$F$23</f>
        <v>963159.13262721221</v>
      </c>
      <c r="N12" s="88"/>
      <c r="O12" s="89">
        <v>30000</v>
      </c>
      <c r="P12" s="88">
        <f t="shared" si="5"/>
        <v>89760.132906101993</v>
      </c>
      <c r="Q12" s="88">
        <f t="shared" si="6"/>
        <v>1052287.6073400001</v>
      </c>
      <c r="R12" s="119">
        <f>$R$11</f>
        <v>4526.0241822271728</v>
      </c>
      <c r="S12" s="119">
        <v>0</v>
      </c>
      <c r="T12" s="119">
        <f>$T$11</f>
        <v>11061.065008107698</v>
      </c>
      <c r="U12" s="88">
        <f t="shared" si="7"/>
        <v>1187634.8294364372</v>
      </c>
      <c r="V12" s="88">
        <f t="shared" si="0"/>
        <v>2150793.9620636497</v>
      </c>
      <c r="W12" s="88">
        <v>947052765.39099205</v>
      </c>
      <c r="X12" s="108">
        <f t="shared" si="1"/>
        <v>2.2710392078055877E-3</v>
      </c>
      <c r="Z12" s="26"/>
    </row>
    <row r="13" spans="1:26">
      <c r="A13" s="91" t="s">
        <v>105</v>
      </c>
      <c r="B13" t="s">
        <v>54</v>
      </c>
      <c r="C13" s="117">
        <v>45657</v>
      </c>
      <c r="D13">
        <v>1</v>
      </c>
      <c r="E13" s="88">
        <v>9641631</v>
      </c>
      <c r="F13" s="88">
        <f>Depreciation!F12</f>
        <v>881245.07339999999</v>
      </c>
      <c r="G13" s="57">
        <f t="shared" si="2"/>
        <v>10522876.0734</v>
      </c>
      <c r="H13" s="57">
        <v>0</v>
      </c>
      <c r="I13" s="88">
        <f t="shared" si="3"/>
        <v>14970.016613262749</v>
      </c>
      <c r="J13" s="88"/>
      <c r="K13" s="88">
        <f t="shared" si="4"/>
        <v>10537846.090013264</v>
      </c>
      <c r="L13" s="88"/>
      <c r="M13" s="88">
        <f>K13*'Revenue Requirement'!$F$23</f>
        <v>963159.13262721221</v>
      </c>
      <c r="N13" s="88"/>
      <c r="O13" s="89">
        <v>30000</v>
      </c>
      <c r="P13" s="88">
        <f t="shared" si="5"/>
        <v>89760.132906101993</v>
      </c>
      <c r="Q13" s="88">
        <f t="shared" si="6"/>
        <v>1052287.6073400001</v>
      </c>
      <c r="R13" s="119">
        <f>$R$11</f>
        <v>4526.0241822271728</v>
      </c>
      <c r="S13" s="119">
        <v>0</v>
      </c>
      <c r="T13" s="119">
        <f>$T$11</f>
        <v>11061.065008107698</v>
      </c>
      <c r="U13" s="88">
        <f t="shared" si="7"/>
        <v>1187634.8294364372</v>
      </c>
      <c r="V13" s="88">
        <f t="shared" si="0"/>
        <v>2150793.9620636497</v>
      </c>
      <c r="W13" s="88">
        <v>947052765.39099205</v>
      </c>
      <c r="X13" s="108">
        <f t="shared" si="1"/>
        <v>2.2710392078055877E-3</v>
      </c>
      <c r="Z13" s="26"/>
    </row>
    <row r="14" spans="1:26">
      <c r="A14" s="91" t="s">
        <v>106</v>
      </c>
      <c r="B14" t="s">
        <v>55</v>
      </c>
      <c r="C14" s="117">
        <v>45657</v>
      </c>
      <c r="D14">
        <v>1</v>
      </c>
      <c r="E14" s="88">
        <v>9641631</v>
      </c>
      <c r="F14" s="88">
        <f>Depreciation!F13</f>
        <v>881245.07339999999</v>
      </c>
      <c r="G14" s="57">
        <f t="shared" si="2"/>
        <v>10522876.0734</v>
      </c>
      <c r="H14" s="57">
        <v>0</v>
      </c>
      <c r="I14" s="88">
        <f t="shared" si="3"/>
        <v>14970.016613262749</v>
      </c>
      <c r="J14" s="88"/>
      <c r="K14" s="88">
        <f t="shared" si="4"/>
        <v>10537846.090013264</v>
      </c>
      <c r="L14" s="88"/>
      <c r="M14" s="88">
        <f>K14*'Revenue Requirement'!$F$23</f>
        <v>963159.13262721221</v>
      </c>
      <c r="N14" s="88"/>
      <c r="O14" s="89">
        <v>30000</v>
      </c>
      <c r="P14" s="88">
        <f t="shared" si="5"/>
        <v>89760.132906101993</v>
      </c>
      <c r="Q14" s="88">
        <f t="shared" si="6"/>
        <v>1052287.6073400001</v>
      </c>
      <c r="R14" s="119">
        <f>$R$11</f>
        <v>4526.0241822271728</v>
      </c>
      <c r="S14" s="119">
        <v>0</v>
      </c>
      <c r="T14" s="119">
        <f>$T$11</f>
        <v>11061.065008107698</v>
      </c>
      <c r="U14" s="88">
        <f t="shared" si="7"/>
        <v>1187634.8294364372</v>
      </c>
      <c r="V14" s="88">
        <f t="shared" si="0"/>
        <v>2150793.9620636497</v>
      </c>
      <c r="W14" s="88">
        <v>947052765.39099205</v>
      </c>
      <c r="X14" s="108">
        <f t="shared" si="1"/>
        <v>2.2710392078055877E-3</v>
      </c>
      <c r="Z14" s="26"/>
    </row>
    <row r="15" spans="1:26">
      <c r="A15" s="91" t="s">
        <v>107</v>
      </c>
      <c r="B15" t="s">
        <v>49</v>
      </c>
      <c r="C15" s="117">
        <v>46387</v>
      </c>
      <c r="D15">
        <v>10</v>
      </c>
      <c r="E15" s="88">
        <v>49500000</v>
      </c>
      <c r="F15" s="88">
        <f>Depreciation!F14</f>
        <v>6786450</v>
      </c>
      <c r="G15" s="57">
        <f t="shared" si="2"/>
        <v>56286450</v>
      </c>
      <c r="H15" s="57">
        <v>0</v>
      </c>
      <c r="I15" s="88">
        <f t="shared" si="3"/>
        <v>97515.427312499989</v>
      </c>
      <c r="J15" s="88"/>
      <c r="K15" s="88">
        <f t="shared" si="4"/>
        <v>56383965.427312501</v>
      </c>
      <c r="L15" s="88"/>
      <c r="M15" s="88">
        <f>K15*'Revenue Requirement'!$F$23</f>
        <v>5153494.4400563622</v>
      </c>
      <c r="N15" s="88"/>
      <c r="O15" s="89">
        <v>300000</v>
      </c>
      <c r="P15" s="88">
        <f t="shared" si="5"/>
        <v>480123.41849999997</v>
      </c>
      <c r="Q15" s="88">
        <f t="shared" si="6"/>
        <v>5628645</v>
      </c>
      <c r="R15" s="119">
        <f>$R$8</f>
        <v>24225.627682078259</v>
      </c>
      <c r="S15" s="119">
        <v>0</v>
      </c>
      <c r="T15" s="119">
        <f>$T$8</f>
        <v>59165.201431897294</v>
      </c>
      <c r="U15" s="88">
        <f t="shared" si="7"/>
        <v>6492159.2476139758</v>
      </c>
      <c r="V15" s="88">
        <f t="shared" si="0"/>
        <v>11645653.687670339</v>
      </c>
      <c r="W15" s="88">
        <v>947052765.39099205</v>
      </c>
      <c r="X15" s="108">
        <f t="shared" si="1"/>
        <v>1.2296731621772325E-2</v>
      </c>
    </row>
    <row r="16" spans="1:26">
      <c r="A16" s="91" t="s">
        <v>108</v>
      </c>
      <c r="B16" t="s">
        <v>55</v>
      </c>
      <c r="C16" s="117">
        <v>45657</v>
      </c>
      <c r="D16">
        <v>1</v>
      </c>
      <c r="E16" s="88">
        <v>9641631</v>
      </c>
      <c r="F16" s="88">
        <f>Depreciation!F15</f>
        <v>881245.07339999999</v>
      </c>
      <c r="G16" s="57">
        <f t="shared" si="2"/>
        <v>10522876.0734</v>
      </c>
      <c r="H16" s="57">
        <v>0</v>
      </c>
      <c r="I16" s="88">
        <f t="shared" si="3"/>
        <v>14970.016613262749</v>
      </c>
      <c r="J16" s="88"/>
      <c r="K16" s="88">
        <f t="shared" si="4"/>
        <v>10537846.090013264</v>
      </c>
      <c r="L16" s="88"/>
      <c r="M16" s="88">
        <f>K16*'Revenue Requirement'!$F$23</f>
        <v>963159.13262721221</v>
      </c>
      <c r="N16" s="88"/>
      <c r="O16" s="89">
        <v>30000</v>
      </c>
      <c r="P16" s="88">
        <f t="shared" si="5"/>
        <v>89760.132906101993</v>
      </c>
      <c r="Q16" s="88">
        <f t="shared" si="6"/>
        <v>1052287.6073400001</v>
      </c>
      <c r="R16" s="119">
        <f>$R$11</f>
        <v>4526.0241822271728</v>
      </c>
      <c r="S16" s="119">
        <v>0</v>
      </c>
      <c r="T16" s="119">
        <f>$T$11</f>
        <v>11061.065008107698</v>
      </c>
      <c r="U16" s="88">
        <f t="shared" si="7"/>
        <v>1187634.8294364372</v>
      </c>
      <c r="V16" s="88">
        <f t="shared" si="0"/>
        <v>2150793.9620636497</v>
      </c>
      <c r="W16" s="88">
        <v>947052765.39099205</v>
      </c>
      <c r="X16" s="108">
        <f t="shared" si="1"/>
        <v>2.2710392078055877E-3</v>
      </c>
      <c r="Z16" s="26"/>
    </row>
    <row r="17" spans="1:26">
      <c r="A17" s="91" t="s">
        <v>109</v>
      </c>
      <c r="B17" t="s">
        <v>42</v>
      </c>
      <c r="C17" s="117">
        <v>46387</v>
      </c>
      <c r="D17">
        <v>10</v>
      </c>
      <c r="E17" s="88">
        <v>49500000</v>
      </c>
      <c r="F17" s="88">
        <f>Depreciation!F16</f>
        <v>6786450</v>
      </c>
      <c r="G17" s="57">
        <f t="shared" si="2"/>
        <v>56286450</v>
      </c>
      <c r="H17" s="57">
        <v>0</v>
      </c>
      <c r="I17" s="88">
        <f t="shared" si="3"/>
        <v>97515.427312499989</v>
      </c>
      <c r="J17" s="88"/>
      <c r="K17" s="88">
        <f t="shared" si="4"/>
        <v>56383965.427312501</v>
      </c>
      <c r="L17" s="88"/>
      <c r="M17" s="88">
        <f>K17*'Revenue Requirement'!$F$23</f>
        <v>5153494.4400563622</v>
      </c>
      <c r="N17" s="88"/>
      <c r="O17" s="89">
        <v>300000</v>
      </c>
      <c r="P17" s="88">
        <f t="shared" si="5"/>
        <v>480123.41849999997</v>
      </c>
      <c r="Q17" s="88">
        <f t="shared" si="6"/>
        <v>5628645</v>
      </c>
      <c r="R17" s="119">
        <f>$R$8</f>
        <v>24225.627682078259</v>
      </c>
      <c r="S17" s="119">
        <v>0</v>
      </c>
      <c r="T17" s="119">
        <f>$T$8</f>
        <v>59165.201431897294</v>
      </c>
      <c r="U17" s="88">
        <f t="shared" si="7"/>
        <v>6492159.2476139758</v>
      </c>
      <c r="V17" s="88">
        <f t="shared" si="0"/>
        <v>11645653.687670339</v>
      </c>
      <c r="W17" s="88">
        <v>947052765.39099205</v>
      </c>
      <c r="X17" s="108">
        <f t="shared" ref="X17:X27" si="8">V17/W17</f>
        <v>1.2296731621772325E-2</v>
      </c>
    </row>
    <row r="18" spans="1:26">
      <c r="A18" s="91" t="s">
        <v>110</v>
      </c>
      <c r="B18" t="s">
        <v>50</v>
      </c>
      <c r="C18" s="117">
        <v>46022</v>
      </c>
      <c r="D18">
        <v>10</v>
      </c>
      <c r="E18" s="88">
        <v>49500000</v>
      </c>
      <c r="F18" s="88">
        <f>Depreciation!F17</f>
        <v>6786450</v>
      </c>
      <c r="G18" s="57">
        <f t="shared" si="2"/>
        <v>56286450</v>
      </c>
      <c r="H18" s="57">
        <v>0</v>
      </c>
      <c r="I18" s="88">
        <f t="shared" si="3"/>
        <v>97515.427312499989</v>
      </c>
      <c r="J18" s="88"/>
      <c r="K18" s="88">
        <f t="shared" si="4"/>
        <v>56383965.427312501</v>
      </c>
      <c r="L18" s="88"/>
      <c r="M18" s="88">
        <f>K18*'Revenue Requirement'!$F$23</f>
        <v>5153494.4400563622</v>
      </c>
      <c r="N18" s="88"/>
      <c r="O18" s="89">
        <v>300000</v>
      </c>
      <c r="P18" s="88">
        <f t="shared" si="5"/>
        <v>480123.41849999997</v>
      </c>
      <c r="Q18" s="88">
        <f t="shared" si="6"/>
        <v>5628645</v>
      </c>
      <c r="R18" s="119">
        <f>$R$8</f>
        <v>24225.627682078259</v>
      </c>
      <c r="S18" s="119">
        <v>0</v>
      </c>
      <c r="T18" s="119">
        <f>$T$8</f>
        <v>59165.201431897294</v>
      </c>
      <c r="U18" s="88">
        <f t="shared" si="7"/>
        <v>6492159.2476139758</v>
      </c>
      <c r="V18" s="88">
        <f t="shared" si="0"/>
        <v>11645653.687670339</v>
      </c>
      <c r="W18" s="88">
        <v>947052765.39099205</v>
      </c>
      <c r="X18" s="108">
        <f t="shared" si="8"/>
        <v>1.2296731621772325E-2</v>
      </c>
    </row>
    <row r="19" spans="1:26">
      <c r="A19" s="91" t="s">
        <v>111</v>
      </c>
      <c r="B19" t="s">
        <v>51</v>
      </c>
      <c r="C19" s="117">
        <v>46387</v>
      </c>
      <c r="D19">
        <v>10</v>
      </c>
      <c r="E19" s="88">
        <v>49500000</v>
      </c>
      <c r="F19" s="88">
        <f>Depreciation!F18</f>
        <v>6786450</v>
      </c>
      <c r="G19" s="57">
        <f t="shared" si="2"/>
        <v>56286450</v>
      </c>
      <c r="H19" s="57">
        <v>0</v>
      </c>
      <c r="I19" s="88">
        <f t="shared" si="3"/>
        <v>97515.427312499989</v>
      </c>
      <c r="J19" s="88"/>
      <c r="K19" s="88">
        <f t="shared" si="4"/>
        <v>56383965.427312501</v>
      </c>
      <c r="L19" s="88"/>
      <c r="M19" s="88">
        <f>K19*'Revenue Requirement'!$F$23</f>
        <v>5153494.4400563622</v>
      </c>
      <c r="N19" s="88"/>
      <c r="O19" s="89">
        <v>300000</v>
      </c>
      <c r="P19" s="88">
        <f t="shared" si="5"/>
        <v>480123.41849999997</v>
      </c>
      <c r="Q19" s="88">
        <f t="shared" si="6"/>
        <v>5628645</v>
      </c>
      <c r="R19" s="119">
        <f>$R$8</f>
        <v>24225.627682078259</v>
      </c>
      <c r="S19" s="119">
        <v>0</v>
      </c>
      <c r="T19" s="119">
        <f>$T$8</f>
        <v>59165.201431897294</v>
      </c>
      <c r="U19" s="88">
        <f t="shared" si="7"/>
        <v>6492159.2476139758</v>
      </c>
      <c r="V19" s="88">
        <f t="shared" si="0"/>
        <v>11645653.687670339</v>
      </c>
      <c r="W19" s="88">
        <v>947052765.39099205</v>
      </c>
      <c r="X19" s="108">
        <f t="shared" si="8"/>
        <v>1.2296731621772325E-2</v>
      </c>
    </row>
    <row r="20" spans="1:26">
      <c r="A20" s="91" t="s">
        <v>112</v>
      </c>
      <c r="B20" t="s">
        <v>52</v>
      </c>
      <c r="C20" s="117">
        <v>46387</v>
      </c>
      <c r="D20">
        <v>10</v>
      </c>
      <c r="E20" s="88">
        <v>49500000</v>
      </c>
      <c r="F20" s="88">
        <f>Depreciation!F19</f>
        <v>6786450</v>
      </c>
      <c r="G20" s="57">
        <f t="shared" si="2"/>
        <v>56286450</v>
      </c>
      <c r="H20" s="57">
        <v>0</v>
      </c>
      <c r="I20" s="88">
        <f t="shared" si="3"/>
        <v>97515.427312499989</v>
      </c>
      <c r="J20" s="88"/>
      <c r="K20" s="88">
        <f t="shared" si="4"/>
        <v>56383965.427312501</v>
      </c>
      <c r="L20" s="88"/>
      <c r="M20" s="88">
        <f>K20*'Revenue Requirement'!$F$23</f>
        <v>5153494.4400563622</v>
      </c>
      <c r="N20" s="88"/>
      <c r="O20" s="89">
        <v>300000</v>
      </c>
      <c r="P20" s="88">
        <f t="shared" si="5"/>
        <v>480123.41849999997</v>
      </c>
      <c r="Q20" s="88">
        <f t="shared" si="6"/>
        <v>5628645</v>
      </c>
      <c r="R20" s="119">
        <f>$R$8</f>
        <v>24225.627682078259</v>
      </c>
      <c r="S20" s="119">
        <v>0</v>
      </c>
      <c r="T20" s="119">
        <f>$T$8</f>
        <v>59165.201431897294</v>
      </c>
      <c r="U20" s="88">
        <f t="shared" si="7"/>
        <v>6492159.2476139758</v>
      </c>
      <c r="V20" s="88">
        <f t="shared" si="0"/>
        <v>11645653.687670339</v>
      </c>
      <c r="W20" s="88">
        <v>947052765.39099205</v>
      </c>
      <c r="X20" s="108">
        <f t="shared" si="8"/>
        <v>1.2296731621772325E-2</v>
      </c>
    </row>
    <row r="21" spans="1:26">
      <c r="A21" s="91" t="s">
        <v>113</v>
      </c>
      <c r="B21" t="s">
        <v>56</v>
      </c>
      <c r="C21" s="117">
        <v>46022</v>
      </c>
      <c r="D21">
        <v>1</v>
      </c>
      <c r="E21" s="88">
        <v>9641631</v>
      </c>
      <c r="F21" s="88">
        <f>Depreciation!F20</f>
        <v>1321867.6100999999</v>
      </c>
      <c r="G21" s="88">
        <f t="shared" si="2"/>
        <v>10963498.610099999</v>
      </c>
      <c r="H21" s="88">
        <v>0</v>
      </c>
      <c r="I21" s="88">
        <f t="shared" si="3"/>
        <v>15439.830393019123</v>
      </c>
      <c r="J21" s="88"/>
      <c r="K21" s="88">
        <f t="shared" si="4"/>
        <v>10978938.440493017</v>
      </c>
      <c r="L21" s="88"/>
      <c r="M21" s="88">
        <f>K21*'Revenue Requirement'!$F$23</f>
        <v>1003474.9734610617</v>
      </c>
      <c r="N21" s="88"/>
      <c r="O21" s="89">
        <v>30000</v>
      </c>
      <c r="P21" s="88">
        <f t="shared" si="5"/>
        <v>93518.643144152986</v>
      </c>
      <c r="Q21" s="88">
        <f t="shared" si="6"/>
        <v>1096349.8610099999</v>
      </c>
      <c r="R21" s="88">
        <v>4715.3964368029347</v>
      </c>
      <c r="S21" s="88">
        <v>0</v>
      </c>
      <c r="T21" s="88">
        <v>11524.22303529344</v>
      </c>
      <c r="U21" s="88">
        <f t="shared" si="7"/>
        <v>1236108.1236262494</v>
      </c>
      <c r="V21" s="88">
        <f t="shared" si="0"/>
        <v>2239583.0970873111</v>
      </c>
      <c r="W21" s="88">
        <v>947052765.39099205</v>
      </c>
      <c r="X21" s="108">
        <f t="shared" si="8"/>
        <v>2.3647923103447105E-3</v>
      </c>
      <c r="Z21" s="26"/>
    </row>
    <row r="22" spans="1:26">
      <c r="A22" s="91" t="s">
        <v>114</v>
      </c>
      <c r="B22" t="s">
        <v>56</v>
      </c>
      <c r="C22" s="117">
        <v>46022</v>
      </c>
      <c r="D22">
        <v>1</v>
      </c>
      <c r="E22" s="88">
        <v>9641631</v>
      </c>
      <c r="F22" s="88">
        <f>Depreciation!F21</f>
        <v>1321867.6100999999</v>
      </c>
      <c r="G22" s="88">
        <f t="shared" si="2"/>
        <v>10963498.610099999</v>
      </c>
      <c r="H22" s="88">
        <v>0</v>
      </c>
      <c r="I22" s="88">
        <f t="shared" si="3"/>
        <v>15439.830393019123</v>
      </c>
      <c r="J22" s="88"/>
      <c r="K22" s="88">
        <f t="shared" si="4"/>
        <v>10978938.440493017</v>
      </c>
      <c r="L22" s="88"/>
      <c r="M22" s="88">
        <f>K22*'Revenue Requirement'!$F$23</f>
        <v>1003474.9734610617</v>
      </c>
      <c r="N22" s="88"/>
      <c r="O22" s="89">
        <v>30000</v>
      </c>
      <c r="P22" s="88">
        <f t="shared" si="5"/>
        <v>93518.643144152986</v>
      </c>
      <c r="Q22" s="88">
        <f t="shared" si="6"/>
        <v>1096349.8610099999</v>
      </c>
      <c r="R22" s="88">
        <v>4715.3964368029347</v>
      </c>
      <c r="S22" s="88">
        <v>0</v>
      </c>
      <c r="T22" s="88">
        <v>11524.22303529344</v>
      </c>
      <c r="U22" s="88">
        <f t="shared" si="7"/>
        <v>1236108.1236262494</v>
      </c>
      <c r="V22" s="88">
        <f t="shared" si="0"/>
        <v>2239583.0970873111</v>
      </c>
      <c r="W22" s="88">
        <v>947052765.39099205</v>
      </c>
      <c r="X22" s="108">
        <f t="shared" si="8"/>
        <v>2.3647923103447105E-3</v>
      </c>
      <c r="Z22" s="26"/>
    </row>
    <row r="23" spans="1:26">
      <c r="A23" s="91" t="s">
        <v>115</v>
      </c>
      <c r="B23" t="s">
        <v>56</v>
      </c>
      <c r="C23" s="117">
        <v>46022</v>
      </c>
      <c r="D23">
        <v>1</v>
      </c>
      <c r="E23" s="88">
        <v>9641631</v>
      </c>
      <c r="F23" s="88">
        <f>Depreciation!F22</f>
        <v>1321867.6100999999</v>
      </c>
      <c r="G23" s="88">
        <f t="shared" si="2"/>
        <v>10963498.610099999</v>
      </c>
      <c r="H23" s="88">
        <v>0</v>
      </c>
      <c r="I23" s="88">
        <f t="shared" si="3"/>
        <v>15439.830393019123</v>
      </c>
      <c r="J23" s="88"/>
      <c r="K23" s="88">
        <f t="shared" si="4"/>
        <v>10978938.440493017</v>
      </c>
      <c r="L23" s="88"/>
      <c r="M23" s="88">
        <f>K23*'Revenue Requirement'!$F$23</f>
        <v>1003474.9734610617</v>
      </c>
      <c r="N23" s="88"/>
      <c r="O23" s="89">
        <v>30000</v>
      </c>
      <c r="P23" s="88">
        <f t="shared" si="5"/>
        <v>93518.643144152986</v>
      </c>
      <c r="Q23" s="88">
        <f t="shared" si="6"/>
        <v>1096349.8610099999</v>
      </c>
      <c r="R23" s="88">
        <v>4715.3964368029347</v>
      </c>
      <c r="S23" s="88">
        <v>0</v>
      </c>
      <c r="T23" s="88">
        <v>11524.22303529344</v>
      </c>
      <c r="U23" s="88">
        <f t="shared" si="7"/>
        <v>1236108.1236262494</v>
      </c>
      <c r="V23" s="88">
        <f t="shared" si="0"/>
        <v>2239583.0970873111</v>
      </c>
      <c r="W23" s="88">
        <v>947052765.39099205</v>
      </c>
      <c r="X23" s="108">
        <f t="shared" si="8"/>
        <v>2.3647923103447105E-3</v>
      </c>
      <c r="Z23" s="26"/>
    </row>
    <row r="24" spans="1:26">
      <c r="A24" s="91" t="s">
        <v>116</v>
      </c>
      <c r="B24" t="s">
        <v>56</v>
      </c>
      <c r="C24" s="117">
        <v>46022</v>
      </c>
      <c r="D24">
        <v>1</v>
      </c>
      <c r="E24" s="88">
        <v>9641631</v>
      </c>
      <c r="F24" s="88">
        <f>Depreciation!F23</f>
        <v>1321867.6100999999</v>
      </c>
      <c r="G24" s="88">
        <f t="shared" si="2"/>
        <v>10963498.610099999</v>
      </c>
      <c r="H24" s="88">
        <v>0</v>
      </c>
      <c r="I24" s="88">
        <f t="shared" si="3"/>
        <v>15439.830393019123</v>
      </c>
      <c r="J24" s="88"/>
      <c r="K24" s="88">
        <f t="shared" si="4"/>
        <v>10978938.440493017</v>
      </c>
      <c r="L24" s="88"/>
      <c r="M24" s="88">
        <f>K24*'Revenue Requirement'!$F$23</f>
        <v>1003474.9734610617</v>
      </c>
      <c r="N24" s="88"/>
      <c r="O24" s="89">
        <v>30000</v>
      </c>
      <c r="P24" s="88">
        <f t="shared" si="5"/>
        <v>93518.643144152986</v>
      </c>
      <c r="Q24" s="88">
        <f t="shared" si="6"/>
        <v>1096349.8610099999</v>
      </c>
      <c r="R24" s="88">
        <v>4715.3964368029347</v>
      </c>
      <c r="S24" s="88">
        <v>0</v>
      </c>
      <c r="T24" s="88">
        <v>11524.22303529344</v>
      </c>
      <c r="U24" s="88">
        <f t="shared" si="7"/>
        <v>1236108.1236262494</v>
      </c>
      <c r="V24" s="88">
        <f t="shared" si="0"/>
        <v>2239583.0970873111</v>
      </c>
      <c r="W24" s="88">
        <v>947052765.39099205</v>
      </c>
      <c r="X24" s="108">
        <f t="shared" si="8"/>
        <v>2.3647923103447105E-3</v>
      </c>
      <c r="Z24" s="26"/>
    </row>
    <row r="25" spans="1:26">
      <c r="A25" s="91" t="s">
        <v>117</v>
      </c>
      <c r="B25" t="s">
        <v>56</v>
      </c>
      <c r="C25" s="117">
        <v>46022</v>
      </c>
      <c r="D25">
        <v>1</v>
      </c>
      <c r="E25" s="88">
        <v>9641631</v>
      </c>
      <c r="F25" s="88">
        <f>Depreciation!F24</f>
        <v>1321867.6100999999</v>
      </c>
      <c r="G25" s="88">
        <f t="shared" si="2"/>
        <v>10963498.610099999</v>
      </c>
      <c r="H25" s="88">
        <v>0</v>
      </c>
      <c r="I25" s="88">
        <f t="shared" si="3"/>
        <v>15439.830393019123</v>
      </c>
      <c r="J25" s="88"/>
      <c r="K25" s="88">
        <f t="shared" si="4"/>
        <v>10978938.440493017</v>
      </c>
      <c r="L25" s="88"/>
      <c r="M25" s="88">
        <f>K25*'Revenue Requirement'!$F$23</f>
        <v>1003474.9734610617</v>
      </c>
      <c r="N25" s="88"/>
      <c r="O25" s="89">
        <v>30000</v>
      </c>
      <c r="P25" s="88">
        <f t="shared" si="5"/>
        <v>93518.643144152986</v>
      </c>
      <c r="Q25" s="88">
        <f t="shared" si="6"/>
        <v>1096349.8610099999</v>
      </c>
      <c r="R25" s="88">
        <v>4715.3964368029347</v>
      </c>
      <c r="S25" s="88">
        <v>0</v>
      </c>
      <c r="T25" s="88">
        <v>11524.22303529344</v>
      </c>
      <c r="U25" s="88">
        <f t="shared" si="7"/>
        <v>1236108.1236262494</v>
      </c>
      <c r="V25" s="88">
        <f t="shared" si="0"/>
        <v>2239583.0970873111</v>
      </c>
      <c r="W25" s="88">
        <v>947052765.39099205</v>
      </c>
      <c r="X25" s="108">
        <f t="shared" si="8"/>
        <v>2.3647923103447105E-3</v>
      </c>
      <c r="Z25" s="26"/>
    </row>
    <row r="26" spans="1:26">
      <c r="E26" s="88"/>
      <c r="F26" s="88"/>
      <c r="G26" s="88"/>
      <c r="H26" s="88"/>
      <c r="I26" s="88"/>
      <c r="J26" s="88"/>
      <c r="K26" s="88"/>
      <c r="L26" s="88"/>
      <c r="M26" s="88"/>
      <c r="N26" s="88"/>
    </row>
    <row r="27" spans="1:26">
      <c r="D27" s="56">
        <f t="shared" ref="D27" si="9">SUM(D8:D25)</f>
        <v>90</v>
      </c>
      <c r="E27" s="90">
        <f>SUM(E8:E25)</f>
        <v>492416310</v>
      </c>
      <c r="F27" s="90">
        <f t="shared" ref="F27:M27" si="10">SUM(F8:F25)</f>
        <v>64176088.417499997</v>
      </c>
      <c r="G27" s="90">
        <f t="shared" si="10"/>
        <v>556592398.4174999</v>
      </c>
      <c r="H27" s="90">
        <f t="shared" si="10"/>
        <v>0</v>
      </c>
      <c r="I27" s="90">
        <f t="shared" si="10"/>
        <v>930966.64481265936</v>
      </c>
      <c r="J27" s="90"/>
      <c r="K27" s="90">
        <f t="shared" si="10"/>
        <v>557523365.06231248</v>
      </c>
      <c r="L27" s="90"/>
      <c r="M27" s="90">
        <f t="shared" si="10"/>
        <v>50957635.56669537</v>
      </c>
      <c r="N27" s="90"/>
      <c r="O27" s="90">
        <f t="shared" ref="O27:U27" si="11">SUM(O8:O25)</f>
        <v>2700000</v>
      </c>
      <c r="P27" s="90">
        <f t="shared" si="11"/>
        <v>4747733.1585012758</v>
      </c>
      <c r="Q27" s="90">
        <f t="shared" si="11"/>
        <v>55659239.841750003</v>
      </c>
      <c r="R27" s="90">
        <f t="shared" si="11"/>
        <v>239526.00679511053</v>
      </c>
      <c r="S27" s="90">
        <f t="shared" si="11"/>
        <v>0</v>
      </c>
      <c r="T27" s="90">
        <f t="shared" si="11"/>
        <v>585059.12822418544</v>
      </c>
      <c r="U27" s="90">
        <f t="shared" si="11"/>
        <v>63931558.135270551</v>
      </c>
      <c r="V27" s="90">
        <f>SUM(V8:V25)</f>
        <v>114889193.70196593</v>
      </c>
      <c r="W27" s="90">
        <f>AVERAGE(W8:W25)</f>
        <v>947052765.39099169</v>
      </c>
      <c r="X27" s="108">
        <f t="shared" si="8"/>
        <v>0.12131234699951889</v>
      </c>
    </row>
    <row r="28" spans="1:26">
      <c r="D28" s="56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</row>
    <row r="29" spans="1:26">
      <c r="A29" s="91" t="s">
        <v>155</v>
      </c>
      <c r="B29" t="s">
        <v>134</v>
      </c>
      <c r="C29" s="117">
        <v>46387</v>
      </c>
      <c r="E29" s="88">
        <v>1300000</v>
      </c>
      <c r="F29" s="88">
        <f>Depreciation!F39</f>
        <v>188131.66666666666</v>
      </c>
      <c r="G29" s="88">
        <f t="shared" ref="G29:G30" si="12">E29+F29</f>
        <v>1488131.6666666667</v>
      </c>
      <c r="H29" s="88">
        <v>-1022.0240947973151</v>
      </c>
      <c r="I29" s="88">
        <f t="shared" ref="I29:I30" si="13">SUM(O29:P29)*12.5%</f>
        <v>0</v>
      </c>
      <c r="J29" s="88"/>
      <c r="K29" s="88">
        <f t="shared" ref="K29:K30" si="14">SUM(G29:I29)</f>
        <v>1487109.6425718695</v>
      </c>
      <c r="L29" s="88"/>
      <c r="M29" s="88">
        <f>K29*'Revenue Requirement'!$F$23</f>
        <v>135921.82133106887</v>
      </c>
      <c r="N29" s="88"/>
      <c r="O29" s="89"/>
      <c r="P29" s="88"/>
      <c r="Q29" s="88">
        <f>Depreciation!K48</f>
        <v>30653.248563453184</v>
      </c>
      <c r="R29" s="88">
        <v>574.12197204756717</v>
      </c>
      <c r="S29" s="88">
        <v>1022.0240947973151</v>
      </c>
      <c r="T29" s="88">
        <v>851.12258801698636</v>
      </c>
      <c r="U29" s="88">
        <f>SUM(O29:T29)</f>
        <v>33100.51721831505</v>
      </c>
      <c r="V29" s="88">
        <f>U29+M29</f>
        <v>169022.33854938392</v>
      </c>
      <c r="W29" s="88">
        <v>947052765.39099205</v>
      </c>
      <c r="X29" s="108">
        <f>V29/W29</f>
        <v>1.7847193390497392E-4</v>
      </c>
      <c r="Z29" s="26"/>
    </row>
    <row r="30" spans="1:26">
      <c r="A30" s="91" t="s">
        <v>154</v>
      </c>
      <c r="B30" t="s">
        <v>135</v>
      </c>
      <c r="C30" s="117">
        <v>46387</v>
      </c>
      <c r="E30" s="88">
        <v>690000</v>
      </c>
      <c r="F30" s="88">
        <f>Depreciation!F40</f>
        <v>99854.5</v>
      </c>
      <c r="G30" s="88">
        <f t="shared" si="12"/>
        <v>789854.5</v>
      </c>
      <c r="H30" s="88">
        <v>-500.69252956125786</v>
      </c>
      <c r="I30" s="88">
        <f t="shared" si="13"/>
        <v>0</v>
      </c>
      <c r="J30" s="88"/>
      <c r="K30" s="88">
        <f t="shared" si="14"/>
        <v>789353.80747043877</v>
      </c>
      <c r="L30" s="88"/>
      <c r="M30" s="88">
        <f>K30*'Revenue Requirement'!$F$23</f>
        <v>72146.938002798095</v>
      </c>
      <c r="N30" s="88"/>
      <c r="O30" s="89"/>
      <c r="P30" s="88"/>
      <c r="Q30" s="88">
        <f>Depreciation!K49</f>
        <v>18057.841053338885</v>
      </c>
      <c r="R30" s="88">
        <v>322.3933342528656</v>
      </c>
      <c r="S30" s="88">
        <v>500.69252956125786</v>
      </c>
      <c r="T30" s="88">
        <v>450.70552100554443</v>
      </c>
      <c r="U30" s="88">
        <f>SUM(O30:T30)</f>
        <v>19331.632438158551</v>
      </c>
      <c r="V30" s="88">
        <f>U30+M30</f>
        <v>91478.570440956653</v>
      </c>
      <c r="W30" s="88">
        <v>947052765.39099205</v>
      </c>
      <c r="X30" s="108">
        <f t="shared" ref="X30:X31" si="15">V30/W30</f>
        <v>9.6592897232277867E-5</v>
      </c>
      <c r="Z30" s="26"/>
    </row>
    <row r="31" spans="1:26">
      <c r="D31" s="56"/>
      <c r="E31" s="90">
        <f t="shared" ref="E31:I31" si="16">SUM(E29:E30)</f>
        <v>1990000</v>
      </c>
      <c r="F31" s="90">
        <f t="shared" si="16"/>
        <v>287986.16666666663</v>
      </c>
      <c r="G31" s="90">
        <f t="shared" si="16"/>
        <v>2277986.166666667</v>
      </c>
      <c r="H31" s="90">
        <f t="shared" si="16"/>
        <v>-1522.716624358573</v>
      </c>
      <c r="I31" s="90">
        <f t="shared" si="16"/>
        <v>0</v>
      </c>
      <c r="J31" s="90"/>
      <c r="K31" s="90">
        <f>SUM(K29:K30)</f>
        <v>2276463.4500423083</v>
      </c>
      <c r="L31" s="90"/>
      <c r="M31" s="90">
        <f>SUM(M29:M30)</f>
        <v>208068.75933386697</v>
      </c>
      <c r="N31" s="90"/>
      <c r="O31" s="90">
        <f t="shared" ref="O31:V31" si="17">SUM(O29:O30)</f>
        <v>0</v>
      </c>
      <c r="P31" s="90">
        <f t="shared" si="17"/>
        <v>0</v>
      </c>
      <c r="Q31" s="90">
        <f t="shared" si="17"/>
        <v>48711.089616792073</v>
      </c>
      <c r="R31" s="90">
        <f t="shared" si="17"/>
        <v>896.51530630043271</v>
      </c>
      <c r="S31" s="90">
        <f t="shared" si="17"/>
        <v>1522.716624358573</v>
      </c>
      <c r="T31" s="90">
        <f t="shared" si="17"/>
        <v>1301.8281090225307</v>
      </c>
      <c r="U31" s="90">
        <f t="shared" si="17"/>
        <v>52432.149656473601</v>
      </c>
      <c r="V31" s="90">
        <f t="shared" si="17"/>
        <v>260500.90899034057</v>
      </c>
      <c r="W31" s="90">
        <f>AVERAGE(W29:W30)</f>
        <v>947052765.39099205</v>
      </c>
      <c r="X31" s="108">
        <f t="shared" si="15"/>
        <v>2.7506483113725179E-4</v>
      </c>
    </row>
    <row r="32" spans="1:26">
      <c r="D32" s="56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109"/>
    </row>
    <row r="33" spans="7:24">
      <c r="G33" s="57">
        <f>Depreciation!G25+Depreciation!G41</f>
        <v>558870384.58416653</v>
      </c>
      <c r="H33" s="57">
        <f>+'Revenue Requirement'!D16+'Revenue Requirement'!F16+'Revenue Requirement'!H16</f>
        <v>-1522.7166243586171</v>
      </c>
      <c r="K33" s="89">
        <f>'Revenue Requirement'!D21+'Revenue Requirement'!F21+'Revenue Requirement'!H21</f>
        <v>559799828.51235497</v>
      </c>
      <c r="M33" s="89">
        <f>'Revenue Requirement'!D25+'Revenue Requirement'!F25+'Revenue Requirement'!H25</f>
        <v>51165704.326029241</v>
      </c>
      <c r="O33" s="89">
        <f>'Revenue Requirement'!D28+'Revenue Requirement'!F28+'Revenue Requirement'!H28</f>
        <v>2700000</v>
      </c>
      <c r="P33" s="89">
        <f>+'Revenue Requirement'!D30+'Revenue Requirement'!F30+'Revenue Requirement'!H30</f>
        <v>4747733.1585012749</v>
      </c>
      <c r="Q33" s="57">
        <f>+Depreciation!I34+Depreciation!I50+Depreciation!J34+Depreciation!J50+Depreciation!K34+Depreciation!K50</f>
        <v>55707950.931366794</v>
      </c>
      <c r="R33" s="12">
        <f>+'Revenue Requirement'!D32+'Revenue Requirement'!F32+'Revenue Requirement'!H32</f>
        <v>240422.51879980735</v>
      </c>
      <c r="S33" s="12">
        <f>+'Revenue Requirement'!D33+'Revenue Requirement'!F33+'Revenue Requirement'!H33</f>
        <v>1522.7166243586171</v>
      </c>
      <c r="T33" s="12">
        <f>+'Revenue Requirement'!D35+'Revenue Requirement'!F35+'Revenue Requirement'!H35</f>
        <v>586360.95633320825</v>
      </c>
      <c r="U33" s="12">
        <f>'Revenue Requirement'!D37+'Revenue Requirement'!F37+'Revenue Requirement'!H37</f>
        <v>63983990.281625435</v>
      </c>
      <c r="V33" s="89">
        <f>+'Revenue Requirement'!D39+'Revenue Requirement'!F39+'Revenue Requirement'!H39</f>
        <v>115149694.60765469</v>
      </c>
      <c r="W33" s="107">
        <f>AVERAGE(W8:W25,W29,W30)</f>
        <v>947052765.39099157</v>
      </c>
      <c r="X33" s="109">
        <f>V33/W33</f>
        <v>0.12158741182716999</v>
      </c>
    </row>
  </sheetData>
  <mergeCells count="5">
    <mergeCell ref="O6:R6"/>
    <mergeCell ref="H1:P1"/>
    <mergeCell ref="H2:P2"/>
    <mergeCell ref="H3:P3"/>
    <mergeCell ref="H4:P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EC82-F79F-46AB-832F-2F0E4CEE0F61}">
  <dimension ref="A1:K50"/>
  <sheetViews>
    <sheetView workbookViewId="0">
      <selection activeCell="I49" sqref="I49"/>
    </sheetView>
  </sheetViews>
  <sheetFormatPr defaultRowHeight="14.4"/>
  <cols>
    <col min="1" max="1" width="48.21875" customWidth="1"/>
    <col min="2" max="2" width="9.33203125" bestFit="1" customWidth="1"/>
    <col min="3" max="3" width="9.21875" bestFit="1" customWidth="1"/>
    <col min="4" max="4" width="13" bestFit="1" customWidth="1"/>
    <col min="5" max="5" width="14.6640625" bestFit="1" customWidth="1"/>
    <col min="6" max="6" width="13.6640625" bestFit="1" customWidth="1"/>
    <col min="7" max="7" width="14.6640625" bestFit="1" customWidth="1"/>
    <col min="9" max="11" width="14.6640625" bestFit="1" customWidth="1"/>
  </cols>
  <sheetData>
    <row r="1" spans="1:11">
      <c r="A1" s="121" t="s">
        <v>12</v>
      </c>
      <c r="B1" s="121"/>
      <c r="C1" s="121"/>
      <c r="D1" s="121"/>
      <c r="E1" s="121"/>
      <c r="F1" s="121"/>
      <c r="G1" s="121"/>
      <c r="H1" s="121"/>
      <c r="I1" s="121"/>
    </row>
    <row r="2" spans="1:11">
      <c r="A2" s="121" t="str">
        <f>'Revenue Requirement'!A2</f>
        <v>Clean Energy Transistion Plan Project 1</v>
      </c>
      <c r="B2" s="121"/>
      <c r="C2" s="121"/>
      <c r="D2" s="121"/>
      <c r="E2" s="121"/>
      <c r="F2" s="121"/>
      <c r="G2" s="121"/>
      <c r="H2" s="121"/>
      <c r="I2" s="121"/>
    </row>
    <row r="3" spans="1:11">
      <c r="A3" s="121" t="str">
        <f>'Revenue Requirement'!A3</f>
        <v>Battery Energy Storage Systems</v>
      </c>
      <c r="B3" s="121"/>
      <c r="C3" s="121"/>
      <c r="D3" s="121"/>
      <c r="E3" s="121"/>
      <c r="F3" s="121"/>
      <c r="G3" s="121"/>
      <c r="H3" s="121"/>
      <c r="I3" s="121"/>
    </row>
    <row r="4" spans="1:11">
      <c r="A4" s="121" t="s">
        <v>9</v>
      </c>
      <c r="B4" s="121"/>
      <c r="C4" s="121"/>
      <c r="D4" s="121"/>
      <c r="E4" s="121"/>
      <c r="F4" s="121"/>
      <c r="G4" s="121"/>
      <c r="H4" s="121"/>
      <c r="I4" s="121"/>
    </row>
    <row r="6" spans="1:11">
      <c r="A6" s="72" t="s">
        <v>53</v>
      </c>
      <c r="B6" s="92" t="s">
        <v>151</v>
      </c>
      <c r="C6" s="92" t="s">
        <v>152</v>
      </c>
      <c r="D6" s="92" t="s">
        <v>153</v>
      </c>
      <c r="E6" s="92" t="s">
        <v>126</v>
      </c>
      <c r="F6" s="92" t="s">
        <v>127</v>
      </c>
      <c r="G6" s="92" t="s">
        <v>29</v>
      </c>
      <c r="I6" s="92">
        <v>2024</v>
      </c>
      <c r="J6" s="92">
        <v>2025</v>
      </c>
      <c r="K6" s="92">
        <v>2026</v>
      </c>
    </row>
    <row r="7" spans="1:11">
      <c r="A7" t="s">
        <v>46</v>
      </c>
      <c r="B7" s="117">
        <v>45474</v>
      </c>
      <c r="C7" s="117">
        <v>46022</v>
      </c>
      <c r="D7" s="118">
        <f t="shared" ref="D7:D24" si="0">DATEDIF(B7, C7, "M")+1</f>
        <v>18</v>
      </c>
      <c r="E7" s="104">
        <v>49500000</v>
      </c>
      <c r="F7" s="43">
        <f>(E7*'Cost of Capital'!$D$12)/12*D7</f>
        <v>6786450</v>
      </c>
      <c r="G7" s="26">
        <f>SUM(E7:F7)</f>
        <v>56286450</v>
      </c>
      <c r="I7" s="26"/>
      <c r="J7" s="26">
        <f>G7</f>
        <v>56286450</v>
      </c>
    </row>
    <row r="8" spans="1:11">
      <c r="A8" t="s">
        <v>47</v>
      </c>
      <c r="B8" s="117">
        <v>45200</v>
      </c>
      <c r="C8" s="117">
        <v>45657</v>
      </c>
      <c r="D8" s="118">
        <f t="shared" si="0"/>
        <v>15</v>
      </c>
      <c r="E8" s="104">
        <v>49500000</v>
      </c>
      <c r="F8" s="43">
        <f>(E8*'Cost of Capital'!$D$12)/12*D8</f>
        <v>5655375</v>
      </c>
      <c r="G8" s="26">
        <f t="shared" ref="G8:G24" si="1">SUM(E8:F8)</f>
        <v>55155375</v>
      </c>
      <c r="I8" s="26">
        <f>G8</f>
        <v>55155375</v>
      </c>
      <c r="J8" s="26"/>
    </row>
    <row r="9" spans="1:11">
      <c r="A9" t="s">
        <v>48</v>
      </c>
      <c r="B9" s="117">
        <v>45474</v>
      </c>
      <c r="C9" s="117">
        <v>46022</v>
      </c>
      <c r="D9" s="118">
        <f t="shared" si="0"/>
        <v>18</v>
      </c>
      <c r="E9" s="104">
        <v>49500000</v>
      </c>
      <c r="F9" s="43">
        <f>(E9*'Cost of Capital'!$D$12)/12*D9</f>
        <v>6786450</v>
      </c>
      <c r="G9" s="26">
        <f t="shared" si="1"/>
        <v>56286450</v>
      </c>
      <c r="I9" s="26"/>
      <c r="J9" s="26">
        <f t="shared" ref="J9" si="2">G9</f>
        <v>56286450</v>
      </c>
    </row>
    <row r="10" spans="1:11">
      <c r="A10" t="s">
        <v>54</v>
      </c>
      <c r="B10" s="117">
        <v>45292</v>
      </c>
      <c r="C10" s="117">
        <v>45657</v>
      </c>
      <c r="D10" s="118">
        <f t="shared" si="0"/>
        <v>12</v>
      </c>
      <c r="E10" s="104">
        <v>9641631</v>
      </c>
      <c r="F10" s="43">
        <f>(E10*'Cost of Capital'!$D$12)/12*D10</f>
        <v>881245.07339999999</v>
      </c>
      <c r="G10" s="26">
        <f t="shared" si="1"/>
        <v>10522876.0734</v>
      </c>
      <c r="I10" s="26">
        <f>G10</f>
        <v>10522876.0734</v>
      </c>
      <c r="J10" s="26"/>
    </row>
    <row r="11" spans="1:11">
      <c r="A11" t="s">
        <v>55</v>
      </c>
      <c r="B11" s="117">
        <v>45292</v>
      </c>
      <c r="C11" s="117">
        <v>45657</v>
      </c>
      <c r="D11" s="118">
        <f t="shared" si="0"/>
        <v>12</v>
      </c>
      <c r="E11" s="104">
        <v>9641631</v>
      </c>
      <c r="F11" s="43">
        <f>(E11*'Cost of Capital'!$D$12)/12*D11</f>
        <v>881245.07339999999</v>
      </c>
      <c r="G11" s="26">
        <f t="shared" si="1"/>
        <v>10522876.0734</v>
      </c>
      <c r="I11" s="26">
        <f>G11</f>
        <v>10522876.0734</v>
      </c>
      <c r="J11" s="26"/>
    </row>
    <row r="12" spans="1:11">
      <c r="A12" t="s">
        <v>54</v>
      </c>
      <c r="B12" s="117">
        <v>45292</v>
      </c>
      <c r="C12" s="117">
        <v>45657</v>
      </c>
      <c r="D12" s="118">
        <f t="shared" si="0"/>
        <v>12</v>
      </c>
      <c r="E12" s="104">
        <v>9641631</v>
      </c>
      <c r="F12" s="43">
        <f>(E12*'Cost of Capital'!$D$12)/12*D12</f>
        <v>881245.07339999999</v>
      </c>
      <c r="G12" s="26">
        <f t="shared" si="1"/>
        <v>10522876.0734</v>
      </c>
      <c r="I12" s="26">
        <f>G12</f>
        <v>10522876.0734</v>
      </c>
      <c r="J12" s="26"/>
    </row>
    <row r="13" spans="1:11">
      <c r="A13" t="s">
        <v>55</v>
      </c>
      <c r="B13" s="117">
        <v>45292</v>
      </c>
      <c r="C13" s="117">
        <v>45657</v>
      </c>
      <c r="D13" s="118">
        <f t="shared" si="0"/>
        <v>12</v>
      </c>
      <c r="E13" s="104">
        <v>9641631</v>
      </c>
      <c r="F13" s="43">
        <f>(E13*'Cost of Capital'!$D$12)/12*D13</f>
        <v>881245.07339999999</v>
      </c>
      <c r="G13" s="26">
        <f t="shared" si="1"/>
        <v>10522876.0734</v>
      </c>
      <c r="I13" s="26">
        <f>G13</f>
        <v>10522876.0734</v>
      </c>
      <c r="J13" s="26"/>
    </row>
    <row r="14" spans="1:11">
      <c r="A14" t="s">
        <v>49</v>
      </c>
      <c r="B14" s="117">
        <v>45839</v>
      </c>
      <c r="C14" s="117">
        <v>46387</v>
      </c>
      <c r="D14" s="118">
        <f t="shared" si="0"/>
        <v>18</v>
      </c>
      <c r="E14" s="104">
        <v>49500000</v>
      </c>
      <c r="F14" s="43">
        <f>(E14*'Cost of Capital'!$D$12)/12*D14</f>
        <v>6786450</v>
      </c>
      <c r="G14" s="26">
        <f t="shared" si="1"/>
        <v>56286450</v>
      </c>
      <c r="I14" s="26"/>
      <c r="J14" s="26"/>
      <c r="K14" s="26">
        <f>G14</f>
        <v>56286450</v>
      </c>
    </row>
    <row r="15" spans="1:11">
      <c r="A15" t="s">
        <v>55</v>
      </c>
      <c r="B15" s="117">
        <v>45292</v>
      </c>
      <c r="C15" s="117">
        <v>45657</v>
      </c>
      <c r="D15" s="118">
        <f t="shared" si="0"/>
        <v>12</v>
      </c>
      <c r="E15" s="104">
        <v>9641631</v>
      </c>
      <c r="F15" s="43">
        <f>(E15*'Cost of Capital'!$D$12)/12*D15</f>
        <v>881245.07339999999</v>
      </c>
      <c r="G15" s="26">
        <f t="shared" si="1"/>
        <v>10522876.0734</v>
      </c>
      <c r="I15" s="26">
        <f>G15</f>
        <v>10522876.0734</v>
      </c>
      <c r="J15" s="26"/>
      <c r="K15" s="26"/>
    </row>
    <row r="16" spans="1:11">
      <c r="A16" t="s">
        <v>42</v>
      </c>
      <c r="B16" s="117">
        <v>45839</v>
      </c>
      <c r="C16" s="117">
        <v>46387</v>
      </c>
      <c r="D16" s="118">
        <f t="shared" si="0"/>
        <v>18</v>
      </c>
      <c r="E16" s="104">
        <v>49500000</v>
      </c>
      <c r="F16" s="43">
        <f>(E16*'Cost of Capital'!$D$12)/12*D16</f>
        <v>6786450</v>
      </c>
      <c r="G16" s="26">
        <f t="shared" si="1"/>
        <v>56286450</v>
      </c>
      <c r="I16" s="26"/>
      <c r="J16" s="26"/>
      <c r="K16" s="26">
        <f>G16</f>
        <v>56286450</v>
      </c>
    </row>
    <row r="17" spans="1:11">
      <c r="A17" t="s">
        <v>50</v>
      </c>
      <c r="B17" s="117">
        <v>45474</v>
      </c>
      <c r="C17" s="117">
        <v>46022</v>
      </c>
      <c r="D17" s="118">
        <f t="shared" si="0"/>
        <v>18</v>
      </c>
      <c r="E17" s="104">
        <v>49500000</v>
      </c>
      <c r="F17" s="43">
        <f>(E17*'Cost of Capital'!$D$12)/12*D17</f>
        <v>6786450</v>
      </c>
      <c r="G17" s="26">
        <f t="shared" si="1"/>
        <v>56286450</v>
      </c>
      <c r="J17" s="26">
        <f>G17</f>
        <v>56286450</v>
      </c>
      <c r="K17" s="26"/>
    </row>
    <row r="18" spans="1:11">
      <c r="A18" t="s">
        <v>51</v>
      </c>
      <c r="B18" s="117">
        <v>45839</v>
      </c>
      <c r="C18" s="117">
        <v>46387</v>
      </c>
      <c r="D18" s="118">
        <f t="shared" si="0"/>
        <v>18</v>
      </c>
      <c r="E18" s="104">
        <v>49500000</v>
      </c>
      <c r="F18" s="43">
        <f>(E18*'Cost of Capital'!$D$12)/12*D18</f>
        <v>6786450</v>
      </c>
      <c r="G18" s="26">
        <f t="shared" si="1"/>
        <v>56286450</v>
      </c>
      <c r="K18" s="26">
        <f t="shared" ref="K18:K19" si="3">G18</f>
        <v>56286450</v>
      </c>
    </row>
    <row r="19" spans="1:11">
      <c r="A19" t="s">
        <v>52</v>
      </c>
      <c r="B19" s="117">
        <v>45839</v>
      </c>
      <c r="C19" s="117">
        <v>46387</v>
      </c>
      <c r="D19" s="118">
        <f t="shared" si="0"/>
        <v>18</v>
      </c>
      <c r="E19" s="104">
        <v>49500000</v>
      </c>
      <c r="F19" s="43">
        <f>(E19*'Cost of Capital'!$D$12)/12*D19</f>
        <v>6786450</v>
      </c>
      <c r="G19" s="26">
        <f t="shared" si="1"/>
        <v>56286450</v>
      </c>
      <c r="K19" s="26">
        <f t="shared" si="3"/>
        <v>56286450</v>
      </c>
    </row>
    <row r="20" spans="1:11">
      <c r="A20" t="s">
        <v>56</v>
      </c>
      <c r="B20" s="117">
        <v>45474</v>
      </c>
      <c r="C20" s="117">
        <v>46022</v>
      </c>
      <c r="D20" s="118">
        <f t="shared" si="0"/>
        <v>18</v>
      </c>
      <c r="E20" s="104">
        <v>9641631</v>
      </c>
      <c r="F20" s="43">
        <f>(E20*'Cost of Capital'!$D$12)/12*D20</f>
        <v>1321867.6100999999</v>
      </c>
      <c r="G20" s="26">
        <f t="shared" si="1"/>
        <v>10963498.610099999</v>
      </c>
      <c r="J20" s="26">
        <f>G20</f>
        <v>10963498.610099999</v>
      </c>
      <c r="K20" s="26"/>
    </row>
    <row r="21" spans="1:11">
      <c r="A21" t="s">
        <v>56</v>
      </c>
      <c r="B21" s="117">
        <v>45474</v>
      </c>
      <c r="C21" s="117">
        <v>46022</v>
      </c>
      <c r="D21" s="118">
        <f t="shared" si="0"/>
        <v>18</v>
      </c>
      <c r="E21" s="104">
        <v>9641631</v>
      </c>
      <c r="F21" s="43">
        <f>(E21*'Cost of Capital'!$D$12)/12*D21</f>
        <v>1321867.6100999999</v>
      </c>
      <c r="G21" s="26">
        <f t="shared" si="1"/>
        <v>10963498.610099999</v>
      </c>
      <c r="J21" s="26">
        <f t="shared" ref="J21:J24" si="4">G21</f>
        <v>10963498.610099999</v>
      </c>
      <c r="K21" s="26"/>
    </row>
    <row r="22" spans="1:11">
      <c r="A22" t="s">
        <v>56</v>
      </c>
      <c r="B22" s="117">
        <v>45474</v>
      </c>
      <c r="C22" s="117">
        <v>46022</v>
      </c>
      <c r="D22" s="118">
        <f t="shared" si="0"/>
        <v>18</v>
      </c>
      <c r="E22" s="104">
        <v>9641631</v>
      </c>
      <c r="F22" s="43">
        <f>(E22*'Cost of Capital'!$D$12)/12*D22</f>
        <v>1321867.6100999999</v>
      </c>
      <c r="G22" s="26">
        <f t="shared" si="1"/>
        <v>10963498.610099999</v>
      </c>
      <c r="J22" s="26">
        <f t="shared" si="4"/>
        <v>10963498.610099999</v>
      </c>
      <c r="K22" s="26"/>
    </row>
    <row r="23" spans="1:11">
      <c r="A23" t="s">
        <v>56</v>
      </c>
      <c r="B23" s="117">
        <v>45474</v>
      </c>
      <c r="C23" s="117">
        <v>46022</v>
      </c>
      <c r="D23" s="118">
        <f t="shared" si="0"/>
        <v>18</v>
      </c>
      <c r="E23" s="104">
        <v>9641631</v>
      </c>
      <c r="F23" s="43">
        <f>(E23*'Cost of Capital'!$D$12)/12*D23</f>
        <v>1321867.6100999999</v>
      </c>
      <c r="G23" s="26">
        <f t="shared" si="1"/>
        <v>10963498.610099999</v>
      </c>
      <c r="J23" s="26">
        <f t="shared" si="4"/>
        <v>10963498.610099999</v>
      </c>
      <c r="K23" s="26"/>
    </row>
    <row r="24" spans="1:11">
      <c r="A24" t="s">
        <v>56</v>
      </c>
      <c r="B24" s="117">
        <v>45474</v>
      </c>
      <c r="C24" s="117">
        <v>46022</v>
      </c>
      <c r="D24" s="118">
        <f t="shared" si="0"/>
        <v>18</v>
      </c>
      <c r="E24" s="104">
        <v>9641631</v>
      </c>
      <c r="F24" s="43">
        <f>(E24*'Cost of Capital'!$D$12)/12*D24</f>
        <v>1321867.6100999999</v>
      </c>
      <c r="G24" s="26">
        <f t="shared" si="1"/>
        <v>10963498.610099999</v>
      </c>
      <c r="J24" s="26">
        <f t="shared" si="4"/>
        <v>10963498.610099999</v>
      </c>
      <c r="K24" s="26"/>
    </row>
    <row r="25" spans="1:11" ht="15" thickBot="1">
      <c r="E25" s="44">
        <f>SUM(E7:E24)</f>
        <v>492416310</v>
      </c>
      <c r="F25" s="44">
        <f>SUM(F7:F24)</f>
        <v>64176088.417499997</v>
      </c>
      <c r="G25" s="44">
        <f>SUM(G7:G24)</f>
        <v>556592398.4174999</v>
      </c>
      <c r="I25" s="44">
        <f>SUM(I7:I24)</f>
        <v>107769755.36700001</v>
      </c>
      <c r="J25" s="44">
        <f>SUM(J7:J24)</f>
        <v>223676843.05050001</v>
      </c>
      <c r="K25" s="44">
        <f>SUM(K7:K24)</f>
        <v>225145800</v>
      </c>
    </row>
    <row r="27" spans="1:11">
      <c r="F27" s="26"/>
    </row>
    <row r="29" spans="1:11">
      <c r="A29" t="s">
        <v>43</v>
      </c>
      <c r="E29" s="43">
        <f>E25</f>
        <v>492416310</v>
      </c>
      <c r="F29" s="43">
        <f t="shared" ref="F29:G29" si="5">F25</f>
        <v>64176088.417499997</v>
      </c>
      <c r="G29" s="43">
        <f t="shared" si="5"/>
        <v>556592398.4174999</v>
      </c>
      <c r="I29" s="43">
        <f>I25</f>
        <v>107769755.36700001</v>
      </c>
      <c r="J29" s="43">
        <f>J25</f>
        <v>223676843.05050001</v>
      </c>
      <c r="K29" s="43">
        <f t="shared" ref="K29" si="6">K25</f>
        <v>225145800</v>
      </c>
    </row>
    <row r="32" spans="1:11">
      <c r="A32" t="s">
        <v>44</v>
      </c>
      <c r="E32" s="93">
        <v>0.1</v>
      </c>
      <c r="F32" s="93">
        <v>0.1</v>
      </c>
      <c r="G32" s="93">
        <v>0.1</v>
      </c>
      <c r="I32" s="93">
        <v>0.1</v>
      </c>
      <c r="J32" s="93">
        <v>0.1</v>
      </c>
      <c r="K32" s="93">
        <v>0.1</v>
      </c>
    </row>
    <row r="34" spans="1:11">
      <c r="A34" t="s">
        <v>45</v>
      </c>
      <c r="E34" s="26">
        <f>E29*E32</f>
        <v>49241631</v>
      </c>
      <c r="F34" s="26">
        <f>F29*F32</f>
        <v>6417608.8417499997</v>
      </c>
      <c r="G34" s="26">
        <f>G29*G32</f>
        <v>55659239.841749996</v>
      </c>
      <c r="I34" s="26">
        <f>I29*I32</f>
        <v>10776975.536700003</v>
      </c>
      <c r="J34" s="26">
        <f>J29*J32</f>
        <v>22367684.305050001</v>
      </c>
      <c r="K34" s="26">
        <f>K29*K32</f>
        <v>22514580</v>
      </c>
    </row>
    <row r="38" spans="1:11">
      <c r="A38" s="72" t="s">
        <v>53</v>
      </c>
      <c r="B38" s="72"/>
      <c r="C38" s="56"/>
      <c r="D38" s="56"/>
      <c r="E38" s="92" t="s">
        <v>126</v>
      </c>
      <c r="F38" s="92" t="s">
        <v>127</v>
      </c>
      <c r="G38" s="92" t="s">
        <v>29</v>
      </c>
      <c r="I38" s="92">
        <v>2024</v>
      </c>
      <c r="J38" s="92">
        <v>2025</v>
      </c>
      <c r="K38" s="92">
        <v>2026</v>
      </c>
    </row>
    <row r="39" spans="1:11">
      <c r="A39" t="s">
        <v>134</v>
      </c>
      <c r="B39" s="117">
        <v>45809</v>
      </c>
      <c r="C39" s="117">
        <v>46387</v>
      </c>
      <c r="D39" s="118">
        <f t="shared" ref="D39:D40" si="7">DATEDIF(B39, C39, "M")+1</f>
        <v>19</v>
      </c>
      <c r="E39" s="115">
        <f>500000+800000</f>
        <v>1300000</v>
      </c>
      <c r="F39" s="43">
        <f>(E39*'Cost of Capital'!$D$12)/12*D39</f>
        <v>188131.66666666666</v>
      </c>
      <c r="G39" s="26">
        <f t="shared" ref="G39:G40" si="8">SUM(E39:F39)</f>
        <v>1488131.6666666667</v>
      </c>
      <c r="I39">
        <v>0</v>
      </c>
      <c r="J39">
        <v>0</v>
      </c>
      <c r="K39" s="26">
        <f>G39</f>
        <v>1488131.6666666667</v>
      </c>
    </row>
    <row r="40" spans="1:11">
      <c r="A40" t="s">
        <v>135</v>
      </c>
      <c r="B40" s="117">
        <v>45809</v>
      </c>
      <c r="C40" s="117">
        <v>46387</v>
      </c>
      <c r="D40" s="118">
        <f t="shared" si="7"/>
        <v>19</v>
      </c>
      <c r="E40" s="115">
        <v>690000</v>
      </c>
      <c r="F40" s="43">
        <f>(E40*'Cost of Capital'!$D$12)/12*D40</f>
        <v>99854.5</v>
      </c>
      <c r="G40" s="26">
        <f t="shared" si="8"/>
        <v>789854.5</v>
      </c>
      <c r="I40">
        <v>0</v>
      </c>
      <c r="J40">
        <v>0</v>
      </c>
      <c r="K40" s="26">
        <f>G40</f>
        <v>789854.5</v>
      </c>
    </row>
    <row r="41" spans="1:11" ht="15" thickBot="1">
      <c r="E41" s="44">
        <f>SUM(E39:E40)</f>
        <v>1990000</v>
      </c>
      <c r="F41" s="44">
        <f>SUM(F39:F40)</f>
        <v>287986.16666666663</v>
      </c>
      <c r="G41" s="44">
        <f>SUM(G39:G40)</f>
        <v>2277986.166666667</v>
      </c>
      <c r="I41" s="44">
        <f>SUM(I39:I40)</f>
        <v>0</v>
      </c>
      <c r="J41" s="44">
        <f>SUM(J39:J40)</f>
        <v>0</v>
      </c>
      <c r="K41" s="44">
        <f>SUM(K39:K40)</f>
        <v>2277986.166666667</v>
      </c>
    </row>
    <row r="45" spans="1:11">
      <c r="A45" t="s">
        <v>44</v>
      </c>
      <c r="I45" s="45">
        <v>2.0598478783879909E-2</v>
      </c>
      <c r="J45" s="45">
        <v>2.0598478783879909E-2</v>
      </c>
      <c r="K45" s="45">
        <v>2.0598478783879909E-2</v>
      </c>
    </row>
    <row r="46" spans="1:11">
      <c r="A46" t="s">
        <v>44</v>
      </c>
      <c r="I46" s="45">
        <v>2.2862237353004744E-2</v>
      </c>
      <c r="J46" s="45">
        <v>2.2862237353004744E-2</v>
      </c>
      <c r="K46" s="45">
        <v>2.2862237353004744E-2</v>
      </c>
    </row>
    <row r="48" spans="1:11">
      <c r="A48" t="s">
        <v>45</v>
      </c>
      <c r="I48" s="26">
        <f>I35*I45</f>
        <v>0</v>
      </c>
      <c r="J48" s="26">
        <f>J35*J45</f>
        <v>0</v>
      </c>
      <c r="K48" s="26">
        <f>K39*K45</f>
        <v>30653.248563453184</v>
      </c>
    </row>
    <row r="49" spans="1:11">
      <c r="A49" t="s">
        <v>45</v>
      </c>
      <c r="I49" s="26">
        <f>I41*I46</f>
        <v>0</v>
      </c>
      <c r="J49" s="26">
        <f>J41*J46</f>
        <v>0</v>
      </c>
      <c r="K49" s="26">
        <f>K40*K46</f>
        <v>18057.841053338885</v>
      </c>
    </row>
    <row r="50" spans="1:11" ht="15" thickBot="1">
      <c r="I50" s="44">
        <f>SUM(I48:I49)</f>
        <v>0</v>
      </c>
      <c r="J50" s="44">
        <f>SUM(J48:J49)</f>
        <v>0</v>
      </c>
      <c r="K50" s="44">
        <f>SUM(K48:K49)</f>
        <v>48711.089616792073</v>
      </c>
    </row>
  </sheetData>
  <mergeCells count="4">
    <mergeCell ref="A1:I1"/>
    <mergeCell ref="A2:I2"/>
    <mergeCell ref="A3:I3"/>
    <mergeCell ref="A4:I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D352-33C9-4655-A677-B212A2519B9F}">
  <dimension ref="A1:I27"/>
  <sheetViews>
    <sheetView topLeftCell="A19" workbookViewId="0">
      <selection activeCell="G16" sqref="G16"/>
    </sheetView>
  </sheetViews>
  <sheetFormatPr defaultRowHeight="14.4"/>
  <cols>
    <col min="1" max="1" width="5.77734375" customWidth="1"/>
    <col min="2" max="2" width="47.33203125" customWidth="1"/>
    <col min="3" max="3" width="9.21875" bestFit="1" customWidth="1"/>
    <col min="4" max="4" width="13.5546875" bestFit="1" customWidth="1"/>
    <col min="5" max="5" width="5.77734375" customWidth="1"/>
    <col min="6" max="6" width="11.109375" bestFit="1" customWidth="1"/>
    <col min="7" max="8" width="12.6640625" bestFit="1" customWidth="1"/>
  </cols>
  <sheetData>
    <row r="1" spans="1:9">
      <c r="A1" s="121" t="s">
        <v>12</v>
      </c>
      <c r="B1" s="121"/>
      <c r="C1" s="121"/>
      <c r="D1" s="121"/>
      <c r="E1" s="121"/>
      <c r="F1" s="121"/>
      <c r="G1" s="121"/>
      <c r="H1" s="121"/>
      <c r="I1" s="121"/>
    </row>
    <row r="2" spans="1:9">
      <c r="A2" s="121" t="str">
        <f>'Revenue Requirement'!A2</f>
        <v>Clean Energy Transistion Plan Project 1</v>
      </c>
      <c r="B2" s="121"/>
      <c r="C2" s="121"/>
      <c r="D2" s="121"/>
      <c r="E2" s="121"/>
      <c r="F2" s="121"/>
      <c r="G2" s="121"/>
      <c r="H2" s="121"/>
      <c r="I2" s="121"/>
    </row>
    <row r="3" spans="1:9">
      <c r="A3" s="121" t="str">
        <f>'Revenue Requirement'!A3</f>
        <v>Battery Energy Storage Systems</v>
      </c>
      <c r="B3" s="121"/>
      <c r="C3" s="121"/>
      <c r="D3" s="121"/>
      <c r="E3" s="121"/>
      <c r="F3" s="121"/>
      <c r="G3" s="121"/>
      <c r="H3" s="121"/>
      <c r="I3" s="121"/>
    </row>
    <row r="4" spans="1:9">
      <c r="A4" s="121" t="s">
        <v>59</v>
      </c>
      <c r="B4" s="121"/>
      <c r="C4" s="121"/>
      <c r="D4" s="121"/>
      <c r="E4" s="121"/>
      <c r="F4" s="121"/>
      <c r="G4" s="121"/>
      <c r="H4" s="121"/>
      <c r="I4" s="12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B6" s="56" t="s">
        <v>150</v>
      </c>
      <c r="C6" s="56"/>
      <c r="D6" s="56" t="s">
        <v>59</v>
      </c>
      <c r="F6" s="92">
        <v>2024</v>
      </c>
      <c r="G6" s="92">
        <v>2025</v>
      </c>
      <c r="H6" s="92">
        <v>2026</v>
      </c>
    </row>
    <row r="8" spans="1:9">
      <c r="B8" t="s">
        <v>46</v>
      </c>
      <c r="C8" s="117">
        <v>46022</v>
      </c>
      <c r="D8" s="58">
        <v>300000</v>
      </c>
      <c r="F8" s="26"/>
      <c r="G8" s="26">
        <f>D8</f>
        <v>300000</v>
      </c>
    </row>
    <row r="9" spans="1:9">
      <c r="B9" t="s">
        <v>47</v>
      </c>
      <c r="C9" s="117">
        <v>45657</v>
      </c>
      <c r="D9" s="58">
        <v>300000</v>
      </c>
      <c r="F9" s="26">
        <f>D9</f>
        <v>300000</v>
      </c>
      <c r="G9" s="26"/>
    </row>
    <row r="10" spans="1:9">
      <c r="B10" t="s">
        <v>48</v>
      </c>
      <c r="C10" s="117">
        <v>46022</v>
      </c>
      <c r="D10" s="58">
        <v>300000</v>
      </c>
      <c r="F10" s="26"/>
      <c r="G10" s="26">
        <f t="shared" ref="G10" si="0">D10</f>
        <v>300000</v>
      </c>
    </row>
    <row r="11" spans="1:9">
      <c r="B11" t="s">
        <v>54</v>
      </c>
      <c r="C11" s="117">
        <v>45657</v>
      </c>
      <c r="D11" s="58">
        <v>30000</v>
      </c>
      <c r="F11" s="26">
        <f>D11</f>
        <v>30000</v>
      </c>
      <c r="G11" s="26"/>
    </row>
    <row r="12" spans="1:9">
      <c r="B12" t="s">
        <v>54</v>
      </c>
      <c r="C12" s="117">
        <v>45657</v>
      </c>
      <c r="D12" s="58">
        <v>30000</v>
      </c>
      <c r="F12" s="26">
        <f t="shared" ref="F12:F14" si="1">D12</f>
        <v>30000</v>
      </c>
      <c r="G12" s="26"/>
    </row>
    <row r="13" spans="1:9">
      <c r="B13" t="s">
        <v>55</v>
      </c>
      <c r="C13" s="117">
        <v>45657</v>
      </c>
      <c r="D13" s="58">
        <v>30000</v>
      </c>
      <c r="F13" s="26">
        <f t="shared" si="1"/>
        <v>30000</v>
      </c>
      <c r="G13" s="26"/>
    </row>
    <row r="14" spans="1:9">
      <c r="B14" t="s">
        <v>55</v>
      </c>
      <c r="C14" s="117">
        <v>45657</v>
      </c>
      <c r="D14" s="58">
        <v>30000</v>
      </c>
      <c r="F14" s="26">
        <f t="shared" si="1"/>
        <v>30000</v>
      </c>
      <c r="G14" s="26"/>
    </row>
    <row r="15" spans="1:9">
      <c r="B15" t="s">
        <v>49</v>
      </c>
      <c r="C15" s="117">
        <v>46387</v>
      </c>
      <c r="D15" s="58">
        <v>300000</v>
      </c>
      <c r="F15" s="26"/>
      <c r="G15" s="26"/>
      <c r="H15" s="26">
        <f>D15</f>
        <v>300000</v>
      </c>
    </row>
    <row r="16" spans="1:9">
      <c r="B16" t="s">
        <v>55</v>
      </c>
      <c r="C16" s="117">
        <v>45657</v>
      </c>
      <c r="D16" s="58">
        <v>30000</v>
      </c>
      <c r="F16" s="26">
        <f>D16</f>
        <v>30000</v>
      </c>
      <c r="G16" s="26"/>
    </row>
    <row r="17" spans="2:8">
      <c r="D17" s="43"/>
    </row>
    <row r="18" spans="2:8">
      <c r="B18" t="s">
        <v>42</v>
      </c>
      <c r="C18" s="117">
        <v>46387</v>
      </c>
      <c r="D18" s="58">
        <v>300000</v>
      </c>
      <c r="H18" s="26">
        <f>D18</f>
        <v>300000</v>
      </c>
    </row>
    <row r="19" spans="2:8">
      <c r="B19" t="s">
        <v>50</v>
      </c>
      <c r="C19" s="117">
        <v>46022</v>
      </c>
      <c r="D19" s="58">
        <v>300000</v>
      </c>
      <c r="G19" s="26">
        <f>D19</f>
        <v>300000</v>
      </c>
      <c r="H19" s="26"/>
    </row>
    <row r="20" spans="2:8">
      <c r="B20" t="s">
        <v>51</v>
      </c>
      <c r="C20" s="117">
        <v>46387</v>
      </c>
      <c r="D20" s="58">
        <v>300000</v>
      </c>
      <c r="H20" s="26">
        <f>D20</f>
        <v>300000</v>
      </c>
    </row>
    <row r="21" spans="2:8">
      <c r="B21" t="s">
        <v>52</v>
      </c>
      <c r="C21" s="117">
        <v>46387</v>
      </c>
      <c r="D21" s="58">
        <v>300000</v>
      </c>
      <c r="H21" s="26">
        <f>D21</f>
        <v>300000</v>
      </c>
    </row>
    <row r="22" spans="2:8">
      <c r="B22" t="s">
        <v>58</v>
      </c>
      <c r="C22" s="117">
        <v>46022</v>
      </c>
      <c r="D22" s="58">
        <v>30000</v>
      </c>
      <c r="G22" s="26">
        <f>D22</f>
        <v>30000</v>
      </c>
      <c r="H22" s="26"/>
    </row>
    <row r="23" spans="2:8">
      <c r="B23" t="s">
        <v>58</v>
      </c>
      <c r="C23" s="117">
        <v>46022</v>
      </c>
      <c r="D23" s="58">
        <v>30000</v>
      </c>
      <c r="G23" s="26">
        <f t="shared" ref="G23:G26" si="2">D23</f>
        <v>30000</v>
      </c>
      <c r="H23" s="26"/>
    </row>
    <row r="24" spans="2:8">
      <c r="B24" t="s">
        <v>58</v>
      </c>
      <c r="C24" s="117">
        <v>46022</v>
      </c>
      <c r="D24" s="58">
        <v>30000</v>
      </c>
      <c r="G24" s="26">
        <f t="shared" si="2"/>
        <v>30000</v>
      </c>
      <c r="H24" s="26"/>
    </row>
    <row r="25" spans="2:8">
      <c r="B25" t="s">
        <v>58</v>
      </c>
      <c r="C25" s="117">
        <v>46022</v>
      </c>
      <c r="D25" s="58">
        <v>30000</v>
      </c>
      <c r="G25" s="26">
        <f t="shared" si="2"/>
        <v>30000</v>
      </c>
      <c r="H25" s="26"/>
    </row>
    <row r="26" spans="2:8">
      <c r="B26" t="s">
        <v>58</v>
      </c>
      <c r="C26" s="117">
        <v>46022</v>
      </c>
      <c r="D26" s="58">
        <v>30000</v>
      </c>
      <c r="G26" s="26">
        <f t="shared" si="2"/>
        <v>30000</v>
      </c>
      <c r="H26" s="26"/>
    </row>
    <row r="27" spans="2:8" ht="15" thickBot="1">
      <c r="D27" s="44">
        <f>SUM(D8:D26)</f>
        <v>2700000</v>
      </c>
      <c r="F27" s="44">
        <f>SUM(F8:F26)</f>
        <v>450000</v>
      </c>
      <c r="G27" s="44">
        <f>SUM(G8:G26)</f>
        <v>1050000</v>
      </c>
      <c r="H27" s="44">
        <f>SUM(H8:H26)</f>
        <v>1200000</v>
      </c>
    </row>
  </sheetData>
  <mergeCells count="4">
    <mergeCell ref="A1:I1"/>
    <mergeCell ref="A2:I2"/>
    <mergeCell ref="A3:I3"/>
    <mergeCell ref="A4:I4"/>
  </mergeCells>
  <conditionalFormatting sqref="D8:D16">
    <cfRule type="cellIs" dxfId="1" priority="5" stopIfTrue="1" operator="lessThan">
      <formula>0</formula>
    </cfRule>
  </conditionalFormatting>
  <conditionalFormatting sqref="D18:D26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FA43-B904-4BA4-9127-85407810A438}">
  <dimension ref="A1:U64"/>
  <sheetViews>
    <sheetView topLeftCell="A28" workbookViewId="0">
      <selection activeCell="D41" sqref="D41"/>
    </sheetView>
  </sheetViews>
  <sheetFormatPr defaultRowHeight="14.4" outlineLevelCol="1"/>
  <cols>
    <col min="1" max="1" width="48.5546875" customWidth="1"/>
    <col min="2" max="2" width="13.77734375" bestFit="1" customWidth="1"/>
    <col min="3" max="3" width="2.21875" customWidth="1"/>
    <col min="4" max="4" width="13.77734375" bestFit="1" customWidth="1"/>
    <col min="5" max="5" width="2.21875" customWidth="1"/>
    <col min="6" max="6" width="13.77734375" bestFit="1" customWidth="1"/>
    <col min="7" max="7" width="2.5546875" customWidth="1"/>
    <col min="8" max="8" width="13.21875" customWidth="1"/>
    <col min="9" max="9" width="13.21875" hidden="1" customWidth="1" outlineLevel="1"/>
    <col min="10" max="10" width="24.77734375" hidden="1" customWidth="1" outlineLevel="1"/>
    <col min="11" max="11" width="5" hidden="1" customWidth="1" outlineLevel="1"/>
    <col min="12" max="12" width="7.109375" hidden="1" customWidth="1" outlineLevel="1"/>
    <col min="13" max="13" width="11.5546875" hidden="1" customWidth="1" outlineLevel="1"/>
    <col min="14" max="14" width="10.5546875" hidden="1" customWidth="1" outlineLevel="1"/>
    <col min="15" max="15" width="2.109375" hidden="1" customWidth="1" outlineLevel="1"/>
    <col min="16" max="16" width="11.5546875" hidden="1" customWidth="1" outlineLevel="1"/>
    <col min="17" max="17" width="10.5546875" hidden="1" customWidth="1" outlineLevel="1"/>
    <col min="18" max="18" width="2.109375" hidden="1" customWidth="1" outlineLevel="1"/>
    <col min="19" max="19" width="11.33203125" hidden="1" customWidth="1" outlineLevel="1"/>
    <col min="20" max="20" width="12.109375" hidden="1" customWidth="1" outlineLevel="1"/>
    <col min="21" max="21" width="3.109375" customWidth="1" collapsed="1"/>
  </cols>
  <sheetData>
    <row r="1" spans="1:21">
      <c r="A1" s="121" t="s">
        <v>12</v>
      </c>
      <c r="B1" s="121"/>
      <c r="C1" s="121"/>
      <c r="D1" s="121"/>
      <c r="E1" s="121"/>
      <c r="F1" s="121"/>
      <c r="G1" s="121"/>
      <c r="H1" s="121"/>
      <c r="I1" s="121"/>
    </row>
    <row r="2" spans="1:21">
      <c r="A2" s="121" t="str">
        <f>'Revenue Requirement'!A2</f>
        <v>Clean Energy Transistion Plan Project 1</v>
      </c>
      <c r="B2" s="121"/>
      <c r="C2" s="121"/>
      <c r="D2" s="121"/>
      <c r="E2" s="121"/>
      <c r="F2" s="121"/>
      <c r="G2" s="121"/>
      <c r="H2" s="121"/>
      <c r="I2" s="121"/>
    </row>
    <row r="3" spans="1:21">
      <c r="A3" s="121" t="str">
        <f>'Revenue Requirement'!A3</f>
        <v>Battery Energy Storage Systems</v>
      </c>
      <c r="B3" s="121"/>
      <c r="C3" s="121"/>
      <c r="D3" s="121"/>
      <c r="E3" s="121"/>
      <c r="F3" s="121"/>
      <c r="G3" s="121"/>
      <c r="H3" s="121"/>
      <c r="I3" s="121"/>
    </row>
    <row r="4" spans="1:21">
      <c r="A4" s="121" t="s">
        <v>13</v>
      </c>
      <c r="B4" s="121"/>
      <c r="C4" s="121"/>
      <c r="D4" s="121"/>
      <c r="E4" s="121"/>
      <c r="F4" s="121"/>
      <c r="G4" s="121"/>
      <c r="H4" s="121"/>
      <c r="I4" s="121"/>
    </row>
    <row r="5" spans="1:21">
      <c r="A5" s="1"/>
      <c r="B5" s="1"/>
      <c r="C5" s="1"/>
      <c r="D5" s="1"/>
      <c r="E5" s="1"/>
      <c r="F5" s="1"/>
      <c r="G5" s="1"/>
      <c r="H5" s="1"/>
      <c r="I5" s="1"/>
    </row>
    <row r="6" spans="1:21" s="61" customFormat="1" thickBot="1">
      <c r="A6" s="59" t="s">
        <v>60</v>
      </c>
      <c r="B6" s="60" t="s">
        <v>61</v>
      </c>
      <c r="C6" s="60"/>
      <c r="D6" s="60" t="s">
        <v>62</v>
      </c>
      <c r="E6" s="60"/>
      <c r="F6" s="60" t="s">
        <v>63</v>
      </c>
      <c r="G6" s="60"/>
      <c r="H6" s="94"/>
      <c r="J6" s="66" t="s">
        <v>75</v>
      </c>
      <c r="K6" s="64" t="s">
        <v>76</v>
      </c>
      <c r="L6" s="64" t="s">
        <v>24</v>
      </c>
      <c r="M6" s="65" t="s">
        <v>43</v>
      </c>
      <c r="N6" s="64">
        <v>2024</v>
      </c>
      <c r="O6" s="95"/>
      <c r="P6" s="65" t="s">
        <v>43</v>
      </c>
      <c r="Q6" s="64">
        <v>2025</v>
      </c>
      <c r="R6" s="95"/>
      <c r="S6" s="65" t="s">
        <v>43</v>
      </c>
      <c r="T6" s="64">
        <v>2026</v>
      </c>
      <c r="U6" s="95"/>
    </row>
    <row r="7" spans="1:21" s="61" customFormat="1" ht="13.8">
      <c r="A7" s="62"/>
      <c r="J7" s="66"/>
    </row>
    <row r="8" spans="1:21" s="61" customFormat="1" ht="13.8">
      <c r="A8" s="62"/>
      <c r="J8" s="66" t="s">
        <v>128</v>
      </c>
      <c r="K8" s="66">
        <v>2024</v>
      </c>
      <c r="L8" s="67">
        <v>0.1</v>
      </c>
      <c r="M8" s="68">
        <f>Depreciation!I25</f>
        <v>107769755.36700001</v>
      </c>
      <c r="N8" s="68">
        <f>M8*L8</f>
        <v>10776975.536700003</v>
      </c>
      <c r="O8" s="96"/>
      <c r="P8" s="68"/>
      <c r="Q8" s="68"/>
      <c r="R8" s="96"/>
      <c r="S8" s="68"/>
      <c r="T8" s="68"/>
      <c r="U8" s="96"/>
    </row>
    <row r="9" spans="1:21" s="61" customFormat="1" ht="13.8">
      <c r="A9" s="62"/>
      <c r="J9" s="66" t="s">
        <v>128</v>
      </c>
      <c r="K9" s="66">
        <v>2025</v>
      </c>
      <c r="L9" s="67">
        <v>0.1</v>
      </c>
      <c r="M9" s="68"/>
      <c r="N9" s="68"/>
      <c r="O9" s="96"/>
      <c r="P9" s="68">
        <f>Depreciation!J25</f>
        <v>223676843.05050001</v>
      </c>
      <c r="Q9" s="68">
        <f>$P$9*$L$9</f>
        <v>22367684.305050001</v>
      </c>
      <c r="R9" s="96"/>
      <c r="S9" s="68"/>
      <c r="T9" s="68"/>
      <c r="U9" s="96"/>
    </row>
    <row r="10" spans="1:21" s="61" customFormat="1" ht="13.8">
      <c r="A10" s="62" t="s">
        <v>64</v>
      </c>
      <c r="B10" s="61">
        <f>'Income Statement'!B9-'Income Statement'!B18</f>
        <v>10025450.852379002</v>
      </c>
      <c r="D10" s="61">
        <f>'Income Statement'!D9-'Income Statement'!D18</f>
        <v>20809228.769289266</v>
      </c>
      <c r="F10" s="61">
        <f>'Income Statement'!F9-'Income Statement'!F18</f>
        <v>21159330.896118354</v>
      </c>
      <c r="J10" s="66" t="s">
        <v>128</v>
      </c>
      <c r="K10" s="66">
        <v>2026</v>
      </c>
      <c r="L10" s="67">
        <v>0.1</v>
      </c>
      <c r="M10" s="68"/>
      <c r="N10" s="68"/>
      <c r="O10" s="96"/>
      <c r="P10" s="68"/>
      <c r="Q10" s="68"/>
      <c r="R10" s="96"/>
      <c r="S10" s="68">
        <f>Depreciation!K25</f>
        <v>225145800</v>
      </c>
      <c r="T10" s="68">
        <f>$S10*$L10</f>
        <v>22514580</v>
      </c>
      <c r="U10" s="96"/>
    </row>
    <row r="11" spans="1:21" s="61" customFormat="1" ht="13.8">
      <c r="A11" s="62"/>
      <c r="J11" s="66"/>
      <c r="K11" s="66"/>
      <c r="L11" s="67"/>
      <c r="M11" s="68"/>
      <c r="N11" s="68"/>
      <c r="O11" s="96"/>
      <c r="P11" s="68"/>
      <c r="Q11" s="68"/>
      <c r="R11" s="96"/>
      <c r="S11" s="68"/>
      <c r="T11" s="68"/>
      <c r="U11" s="96"/>
    </row>
    <row r="12" spans="1:21" s="61" customFormat="1" ht="13.8">
      <c r="A12" s="63" t="s">
        <v>65</v>
      </c>
      <c r="J12" s="66" t="s">
        <v>137</v>
      </c>
      <c r="K12" s="66">
        <v>2026</v>
      </c>
      <c r="L12" s="67">
        <v>0.05</v>
      </c>
      <c r="M12" s="68"/>
      <c r="N12" s="68"/>
      <c r="O12" s="96"/>
      <c r="P12" s="68"/>
      <c r="Q12" s="68"/>
      <c r="R12" s="96"/>
      <c r="S12" s="68">
        <f>Depreciation!$K$39</f>
        <v>1488131.6666666667</v>
      </c>
      <c r="T12" s="68">
        <f>$S12*$L12</f>
        <v>74406.583333333343</v>
      </c>
      <c r="U12" s="96"/>
    </row>
    <row r="13" spans="1:21" s="61" customFormat="1" ht="13.8">
      <c r="A13" s="62" t="s">
        <v>9</v>
      </c>
      <c r="B13" s="61">
        <f>Depreciation!I34+Depreciation!I50</f>
        <v>10776975.536700003</v>
      </c>
      <c r="D13" s="61">
        <f>Depreciation!J34+Depreciation!J50</f>
        <v>22367684.305050001</v>
      </c>
      <c r="F13" s="61">
        <f>Depreciation!K34+Depreciation!K50</f>
        <v>22563291.08961679</v>
      </c>
      <c r="J13" s="66" t="s">
        <v>136</v>
      </c>
      <c r="K13" s="66">
        <v>2026</v>
      </c>
      <c r="L13" s="67">
        <v>0.05</v>
      </c>
      <c r="M13" s="68"/>
      <c r="N13" s="68"/>
      <c r="O13" s="96"/>
      <c r="P13" s="68"/>
      <c r="Q13" s="68"/>
      <c r="R13" s="96"/>
      <c r="S13" s="68">
        <f>Depreciation!$K$40</f>
        <v>789854.5</v>
      </c>
      <c r="T13" s="68">
        <f>$S13*$L13</f>
        <v>39492.725000000006</v>
      </c>
      <c r="U13" s="96"/>
    </row>
    <row r="14" spans="1:21" s="61" customFormat="1" ht="13.8">
      <c r="A14" s="62"/>
      <c r="K14" s="66"/>
      <c r="L14" s="67"/>
      <c r="M14" s="68"/>
      <c r="N14" s="68"/>
      <c r="O14" s="96"/>
      <c r="P14" s="68"/>
      <c r="Q14" s="68"/>
      <c r="R14" s="96"/>
      <c r="S14" s="68"/>
      <c r="T14" s="68"/>
      <c r="U14" s="96"/>
    </row>
    <row r="15" spans="1:21" s="61" customFormat="1" ht="13.8">
      <c r="A15" s="63" t="s">
        <v>66</v>
      </c>
      <c r="J15" s="66"/>
      <c r="K15" s="66"/>
      <c r="L15" s="67"/>
      <c r="M15" s="69"/>
      <c r="N15" s="68"/>
      <c r="O15" s="96"/>
      <c r="P15" s="69"/>
      <c r="Q15" s="68"/>
      <c r="R15" s="96"/>
      <c r="S15" s="68"/>
      <c r="T15" s="68"/>
      <c r="U15" s="96"/>
    </row>
    <row r="16" spans="1:21" s="61" customFormat="1" thickBot="1">
      <c r="A16" s="62"/>
      <c r="M16" s="73">
        <f>SUM(M8:M15)</f>
        <v>107769755.36700001</v>
      </c>
      <c r="N16" s="73">
        <f>SUM(N8:N15)</f>
        <v>10776975.536700003</v>
      </c>
      <c r="O16" s="96"/>
      <c r="P16" s="73">
        <f>SUM(P9:P15)</f>
        <v>223676843.05050001</v>
      </c>
      <c r="Q16" s="73">
        <f t="shared" ref="Q16:S16" si="0">SUM(Q9:Q15)</f>
        <v>22367684.305050001</v>
      </c>
      <c r="R16" s="96"/>
      <c r="S16" s="73">
        <f t="shared" si="0"/>
        <v>227423786.16666666</v>
      </c>
      <c r="T16" s="73">
        <f>SUM(T9:T15)</f>
        <v>22628479.308333334</v>
      </c>
    </row>
    <row r="17" spans="1:21" s="61" customFormat="1" ht="13.8">
      <c r="A17" s="62" t="s">
        <v>68</v>
      </c>
      <c r="B17" s="61">
        <f>-N16</f>
        <v>-10776975.536700003</v>
      </c>
      <c r="D17" s="61">
        <f>-Q16</f>
        <v>-22367684.305050001</v>
      </c>
      <c r="F17" s="61">
        <f>-T16</f>
        <v>-22628479.308333334</v>
      </c>
    </row>
    <row r="18" spans="1:21" s="61" customFormat="1" ht="13.8">
      <c r="A18" s="62" t="s">
        <v>69</v>
      </c>
      <c r="B18" s="61">
        <f>-N29</f>
        <v>-5388487.7683500014</v>
      </c>
      <c r="D18" s="61">
        <f>-Q29</f>
        <v>-11183842.152525</v>
      </c>
      <c r="F18" s="61">
        <f>-T29</f>
        <v>-11314239.654166667</v>
      </c>
    </row>
    <row r="19" spans="1:21" s="61" customFormat="1" ht="13.8">
      <c r="A19" s="62" t="s">
        <v>70</v>
      </c>
      <c r="U19" s="95"/>
    </row>
    <row r="20" spans="1:21" s="61" customFormat="1" thickBot="1">
      <c r="A20" s="59" t="s">
        <v>71</v>
      </c>
      <c r="B20" s="61">
        <f>SUM(B10:B19)</f>
        <v>4636963.0840290003</v>
      </c>
      <c r="D20" s="61">
        <f>SUM(D10:D19)</f>
        <v>9625386.6167642698</v>
      </c>
      <c r="F20" s="61">
        <f>SUM(F10:F19)</f>
        <v>9779903.0232351478</v>
      </c>
      <c r="J20" s="66" t="s">
        <v>77</v>
      </c>
      <c r="K20" s="64" t="s">
        <v>76</v>
      </c>
      <c r="L20" s="64" t="s">
        <v>24</v>
      </c>
      <c r="M20" s="65" t="s">
        <v>78</v>
      </c>
      <c r="N20" s="64">
        <v>2024</v>
      </c>
      <c r="O20" s="95"/>
      <c r="P20" s="65" t="s">
        <v>78</v>
      </c>
      <c r="Q20" s="64">
        <v>2025</v>
      </c>
      <c r="R20" s="95"/>
      <c r="S20" s="65" t="s">
        <v>78</v>
      </c>
      <c r="T20" s="64">
        <v>2026</v>
      </c>
    </row>
    <row r="21" spans="1:21" s="61" customFormat="1" ht="13.8">
      <c r="A21" s="62"/>
      <c r="J21" s="66"/>
    </row>
    <row r="22" spans="1:21" s="61" customFormat="1" ht="13.8">
      <c r="A22" s="63" t="s">
        <v>73</v>
      </c>
      <c r="J22" s="66" t="s">
        <v>128</v>
      </c>
      <c r="K22" s="66">
        <v>2024</v>
      </c>
      <c r="L22" s="67">
        <v>0.1</v>
      </c>
      <c r="M22" s="68">
        <f>M8/2</f>
        <v>53884877.683500007</v>
      </c>
      <c r="N22" s="68">
        <f>M22*L22</f>
        <v>5388487.7683500014</v>
      </c>
      <c r="O22" s="96"/>
      <c r="P22" s="68"/>
      <c r="Q22" s="68"/>
      <c r="R22" s="96"/>
      <c r="S22" s="68"/>
      <c r="T22" s="68"/>
      <c r="U22" s="96"/>
    </row>
    <row r="23" spans="1:21" s="61" customFormat="1" ht="13.8">
      <c r="A23" s="62"/>
      <c r="J23" s="66" t="s">
        <v>128</v>
      </c>
      <c r="K23" s="66">
        <v>2025</v>
      </c>
      <c r="L23" s="67">
        <v>0.1</v>
      </c>
      <c r="M23" s="68"/>
      <c r="N23" s="68"/>
      <c r="O23" s="96"/>
      <c r="P23" s="68">
        <f>P9/2</f>
        <v>111838421.52525</v>
      </c>
      <c r="Q23" s="68">
        <f>$P$23*$L$23</f>
        <v>11183842.152525</v>
      </c>
      <c r="R23" s="96"/>
      <c r="S23" s="68"/>
      <c r="T23" s="68"/>
      <c r="U23" s="96"/>
    </row>
    <row r="24" spans="1:21" s="61" customFormat="1" ht="13.8">
      <c r="A24" s="62" t="s">
        <v>72</v>
      </c>
      <c r="B24" s="103">
        <v>0.01</v>
      </c>
      <c r="D24" s="103">
        <v>0.01</v>
      </c>
      <c r="F24" s="103">
        <v>0.01</v>
      </c>
      <c r="J24" s="66" t="s">
        <v>128</v>
      </c>
      <c r="K24" s="66">
        <v>2026</v>
      </c>
      <c r="L24" s="67">
        <v>0.1</v>
      </c>
      <c r="M24" s="68"/>
      <c r="N24" s="68"/>
      <c r="O24" s="96"/>
      <c r="P24" s="68"/>
      <c r="Q24" s="68"/>
      <c r="R24" s="96"/>
      <c r="S24" s="68">
        <f>S10/2</f>
        <v>112572900</v>
      </c>
      <c r="T24" s="68">
        <f>$S24*$L24</f>
        <v>11257290</v>
      </c>
      <c r="U24" s="96"/>
    </row>
    <row r="25" spans="1:21" s="61" customFormat="1" ht="13.8">
      <c r="A25" s="62"/>
      <c r="J25" s="66"/>
      <c r="K25" s="66"/>
      <c r="L25" s="67"/>
      <c r="M25" s="68"/>
      <c r="N25" s="68"/>
      <c r="O25" s="96"/>
      <c r="P25" s="68"/>
      <c r="Q25" s="68"/>
      <c r="R25" s="96"/>
      <c r="S25" s="68"/>
      <c r="T25" s="68"/>
      <c r="U25" s="96"/>
    </row>
    <row r="26" spans="1:21" s="61" customFormat="1" ht="13.8">
      <c r="A26" s="62" t="s">
        <v>74</v>
      </c>
      <c r="B26" s="61">
        <f>B20*B24</f>
        <v>46369.630840290003</v>
      </c>
      <c r="D26" s="61">
        <f>D20*D24</f>
        <v>96253.8661676427</v>
      </c>
      <c r="F26" s="61">
        <f>F20*F24</f>
        <v>97799.030232351477</v>
      </c>
      <c r="J26" s="66" t="s">
        <v>137</v>
      </c>
      <c r="K26" s="66">
        <v>2026</v>
      </c>
      <c r="L26" s="67">
        <v>0.05</v>
      </c>
      <c r="M26" s="68"/>
      <c r="N26" s="68"/>
      <c r="O26" s="96"/>
      <c r="P26" s="68"/>
      <c r="Q26" s="68"/>
      <c r="R26" s="96"/>
      <c r="S26" s="68">
        <f>S12/2</f>
        <v>744065.83333333337</v>
      </c>
      <c r="T26" s="68">
        <f>$S26*$L26</f>
        <v>37203.291666666672</v>
      </c>
      <c r="U26" s="96"/>
    </row>
    <row r="27" spans="1:21" s="61" customFormat="1" ht="13.8">
      <c r="J27" s="66" t="s">
        <v>136</v>
      </c>
      <c r="K27" s="66">
        <v>2026</v>
      </c>
      <c r="L27" s="67">
        <v>0.05</v>
      </c>
      <c r="M27" s="68"/>
      <c r="N27" s="68"/>
      <c r="O27" s="96"/>
      <c r="P27" s="68"/>
      <c r="Q27" s="68"/>
      <c r="R27" s="96"/>
      <c r="S27" s="68">
        <f>S13/2</f>
        <v>394927.25</v>
      </c>
      <c r="T27" s="68">
        <f>$S27*$L27</f>
        <v>19746.362500000003</v>
      </c>
    </row>
    <row r="28" spans="1:21" s="61" customFormat="1" ht="13.8">
      <c r="U28" s="96"/>
    </row>
    <row r="29" spans="1:21" s="61" customFormat="1" ht="15" thickBot="1">
      <c r="A29" s="72" t="s">
        <v>85</v>
      </c>
      <c r="B29"/>
      <c r="C29"/>
      <c r="D29"/>
      <c r="E29"/>
      <c r="F29"/>
      <c r="G29"/>
      <c r="M29" s="73">
        <f>SUM(M22:M28)</f>
        <v>53884877.683500007</v>
      </c>
      <c r="N29" s="73">
        <f>SUM(N22:N28)</f>
        <v>5388487.7683500014</v>
      </c>
      <c r="O29" s="96"/>
      <c r="P29" s="73">
        <f t="shared" ref="P29:T29" si="1">SUM(P23:P28)</f>
        <v>111838421.52525</v>
      </c>
      <c r="Q29" s="73">
        <f t="shared" si="1"/>
        <v>11183842.152525</v>
      </c>
      <c r="R29" s="96"/>
      <c r="S29" s="73">
        <f t="shared" si="1"/>
        <v>113711893.08333333</v>
      </c>
      <c r="T29" s="73">
        <f t="shared" si="1"/>
        <v>11314239.654166667</v>
      </c>
    </row>
    <row r="30" spans="1:21" s="61" customFormat="1" thickBot="1">
      <c r="B30" s="64">
        <v>2024</v>
      </c>
      <c r="C30" s="64"/>
      <c r="D30" s="64">
        <v>2025</v>
      </c>
      <c r="E30" s="64"/>
      <c r="F30" s="64">
        <v>2026</v>
      </c>
      <c r="G30" s="64"/>
    </row>
    <row r="31" spans="1:21" s="61" customFormat="1" ht="13.2">
      <c r="A31" s="61" t="s">
        <v>79</v>
      </c>
      <c r="B31" s="61">
        <f>N16</f>
        <v>10776975.536700003</v>
      </c>
      <c r="D31" s="61">
        <f>Q16</f>
        <v>22367684.305050001</v>
      </c>
      <c r="F31" s="61">
        <f>T16</f>
        <v>22628479.308333334</v>
      </c>
    </row>
    <row r="32" spans="1:21" s="61" customFormat="1" ht="13.2"/>
    <row r="33" spans="1:21" s="61" customFormat="1">
      <c r="N33" s="116">
        <v>2.3358770255401826E-2</v>
      </c>
      <c r="Q33" s="116">
        <v>2.3358770255401826E-2</v>
      </c>
      <c r="T33" s="116">
        <v>2.3358770255401826E-2</v>
      </c>
      <c r="U33" s="95"/>
    </row>
    <row r="34" spans="1:21" s="61" customFormat="1" thickBot="1">
      <c r="A34" s="61" t="s">
        <v>80</v>
      </c>
      <c r="B34" s="61">
        <f>-Depreciation!I34-Depreciation!I50</f>
        <v>-10776975.536700003</v>
      </c>
      <c r="D34" s="61">
        <f>-Depreciation!J34-Depreciation!J50</f>
        <v>-22367684.305050001</v>
      </c>
      <c r="F34" s="61">
        <f>-Depreciation!K34-Depreciation!K50</f>
        <v>-22563291.08961679</v>
      </c>
      <c r="J34" s="66" t="s">
        <v>98</v>
      </c>
      <c r="K34" s="64" t="s">
        <v>76</v>
      </c>
      <c r="L34" s="64" t="s">
        <v>24</v>
      </c>
      <c r="M34" s="65" t="s">
        <v>78</v>
      </c>
      <c r="N34" s="64">
        <v>2024</v>
      </c>
      <c r="O34" s="95"/>
      <c r="P34" s="65" t="s">
        <v>78</v>
      </c>
      <c r="Q34" s="64">
        <v>2025</v>
      </c>
      <c r="R34" s="95"/>
      <c r="S34" s="64"/>
      <c r="T34" s="64">
        <v>2026</v>
      </c>
    </row>
    <row r="35" spans="1:21" s="61" customFormat="1" ht="13.8">
      <c r="J35" s="66"/>
      <c r="U35" s="96"/>
    </row>
    <row r="36" spans="1:21" s="61" customFormat="1" ht="13.8">
      <c r="B36" s="70">
        <f>SUM(B31:B35)</f>
        <v>0</v>
      </c>
      <c r="C36" s="70"/>
      <c r="D36" s="70">
        <f>SUM(D31:D35)</f>
        <v>0</v>
      </c>
      <c r="E36" s="70"/>
      <c r="F36" s="70">
        <f>SUM(F31:F35)</f>
        <v>65188.218716543168</v>
      </c>
      <c r="G36" s="70"/>
      <c r="J36" s="66" t="s">
        <v>128</v>
      </c>
      <c r="K36" s="66">
        <v>2024</v>
      </c>
      <c r="L36" s="67">
        <v>0.1</v>
      </c>
      <c r="M36" s="68"/>
      <c r="N36" s="68">
        <f>N22*$N$33</f>
        <v>125868.44780493058</v>
      </c>
      <c r="O36" s="96"/>
      <c r="P36" s="68"/>
      <c r="Q36" s="68">
        <f>-Q25*$L36</f>
        <v>0</v>
      </c>
      <c r="R36" s="96"/>
      <c r="S36" s="68"/>
      <c r="T36" s="68">
        <f>-T25*$L36</f>
        <v>0</v>
      </c>
      <c r="U36" s="96"/>
    </row>
    <row r="37" spans="1:21" s="61" customFormat="1" ht="13.8">
      <c r="J37" s="66" t="s">
        <v>128</v>
      </c>
      <c r="K37" s="66">
        <v>2025</v>
      </c>
      <c r="L37" s="67">
        <v>0.1</v>
      </c>
      <c r="M37" s="68"/>
      <c r="N37" s="68">
        <f>N23*$Q$33</f>
        <v>0</v>
      </c>
      <c r="O37" s="96"/>
      <c r="P37" s="68"/>
      <c r="Q37" s="68">
        <f>Q23*$Q$33</f>
        <v>261240.7994135101</v>
      </c>
      <c r="R37" s="96"/>
      <c r="S37" s="68"/>
      <c r="T37" s="68">
        <f>T23*$T$33</f>
        <v>0</v>
      </c>
      <c r="U37" s="96"/>
    </row>
    <row r="38" spans="1:21" s="61" customFormat="1">
      <c r="A38" s="61" t="s">
        <v>160</v>
      </c>
      <c r="B38" s="71">
        <v>2.3358770255401826E-2</v>
      </c>
      <c r="C38" s="71"/>
      <c r="D38" s="71">
        <v>2.3358770255401826E-2</v>
      </c>
      <c r="E38" s="71"/>
      <c r="F38" s="71">
        <v>2.3358770255401826E-2</v>
      </c>
      <c r="G38" s="71"/>
      <c r="J38" s="66" t="s">
        <v>128</v>
      </c>
      <c r="K38" s="66">
        <v>2026</v>
      </c>
      <c r="L38" s="67">
        <v>0.1</v>
      </c>
      <c r="M38" s="68"/>
      <c r="N38" s="68"/>
      <c r="O38" s="96"/>
      <c r="P38" s="68"/>
      <c r="Q38" s="68"/>
      <c r="R38" s="96"/>
      <c r="S38" s="68"/>
      <c r="T38" s="68">
        <f>T24*$T$33</f>
        <v>262956.45080843242</v>
      </c>
      <c r="U38" s="96"/>
    </row>
    <row r="39" spans="1:21" s="61" customFormat="1" ht="13.8">
      <c r="J39" s="66"/>
      <c r="K39" s="66"/>
      <c r="L39" s="67"/>
      <c r="M39" s="68"/>
      <c r="N39" s="68"/>
      <c r="O39" s="96"/>
      <c r="P39" s="68"/>
      <c r="Q39" s="68"/>
      <c r="R39" s="96"/>
      <c r="S39" s="68"/>
      <c r="T39" s="68"/>
      <c r="U39" s="96"/>
    </row>
    <row r="40" spans="1:21" s="61" customFormat="1" ht="13.8">
      <c r="A40" s="61" t="s">
        <v>81</v>
      </c>
      <c r="B40" s="61">
        <f t="shared" ref="B40" si="2">B36*B38</f>
        <v>0</v>
      </c>
      <c r="D40" s="61">
        <f t="shared" ref="D40:F40" si="3">D36*D38</f>
        <v>0</v>
      </c>
      <c r="F40" s="61">
        <f t="shared" si="3"/>
        <v>1522.7166243586171</v>
      </c>
      <c r="J40" s="66" t="s">
        <v>137</v>
      </c>
      <c r="K40" s="66">
        <v>2026</v>
      </c>
      <c r="L40" s="67">
        <v>2.0598478783879909E-2</v>
      </c>
      <c r="M40" s="68"/>
      <c r="N40" s="68"/>
      <c r="O40" s="96"/>
      <c r="P40" s="68"/>
      <c r="Q40" s="68"/>
      <c r="R40" s="96"/>
      <c r="S40" s="68"/>
      <c r="T40" s="68">
        <f>T26*$T$33</f>
        <v>869.02314278637209</v>
      </c>
    </row>
    <row r="41" spans="1:21" s="61" customFormat="1" ht="13.8">
      <c r="A41" s="61" t="s">
        <v>82</v>
      </c>
      <c r="B41" s="61">
        <f>+B40</f>
        <v>0</v>
      </c>
      <c r="D41" s="61">
        <f>+D40</f>
        <v>0</v>
      </c>
      <c r="F41" s="61">
        <f>+F40+D40</f>
        <v>1522.7166243586171</v>
      </c>
      <c r="J41" s="66" t="s">
        <v>136</v>
      </c>
      <c r="K41" s="66">
        <v>2026</v>
      </c>
      <c r="L41" s="67">
        <v>2.2862237353004744E-2</v>
      </c>
      <c r="M41" s="68"/>
      <c r="N41" s="68"/>
      <c r="O41" s="96"/>
      <c r="P41" s="68"/>
      <c r="Q41" s="68"/>
      <c r="R41" s="96"/>
      <c r="S41" s="68"/>
      <c r="T41" s="68">
        <f>T27*$T$33</f>
        <v>461.25074501738209</v>
      </c>
      <c r="U41" s="96"/>
    </row>
    <row r="42" spans="1:21" s="61" customFormat="1">
      <c r="A42"/>
      <c r="B42"/>
      <c r="C42"/>
      <c r="D42"/>
      <c r="E42"/>
      <c r="F42"/>
      <c r="G42"/>
    </row>
    <row r="43" spans="1:21" s="61" customFormat="1" ht="15" thickBot="1">
      <c r="A43"/>
      <c r="B43"/>
      <c r="C43"/>
      <c r="D43"/>
      <c r="E43"/>
      <c r="F43"/>
      <c r="G43"/>
      <c r="M43" s="73">
        <f>SUM(M36:M42)</f>
        <v>0</v>
      </c>
      <c r="N43" s="73">
        <f>SUM(N36:N42)</f>
        <v>125868.44780493058</v>
      </c>
      <c r="O43" s="96"/>
      <c r="P43" s="73">
        <f>SUM(P36:P42)</f>
        <v>0</v>
      </c>
      <c r="Q43" s="73">
        <f>SUM(Q36:Q42)</f>
        <v>261240.7994135101</v>
      </c>
      <c r="R43" s="96"/>
      <c r="S43" s="73"/>
      <c r="T43" s="73">
        <f>SUM(T36:T42)</f>
        <v>264286.72469623614</v>
      </c>
    </row>
    <row r="44" spans="1:21" s="61" customFormat="1" ht="13.2"/>
    <row r="45" spans="1:21" s="61" customFormat="1">
      <c r="U45" s="97"/>
    </row>
    <row r="46" spans="1:21" s="61" customFormat="1" ht="13.8">
      <c r="J46" s="66" t="s">
        <v>128</v>
      </c>
      <c r="K46" s="66">
        <v>2024</v>
      </c>
      <c r="L46" s="67">
        <v>0.1</v>
      </c>
      <c r="M46" s="68"/>
      <c r="N46" s="68">
        <f>-N36*$L46</f>
        <v>-12586.844780493058</v>
      </c>
      <c r="O46" s="96"/>
      <c r="P46" s="68"/>
      <c r="Q46" s="68">
        <f>-Q35*$L46</f>
        <v>0</v>
      </c>
      <c r="R46" s="96"/>
      <c r="S46" s="68"/>
      <c r="T46" s="68">
        <f>-T35*$L46</f>
        <v>0</v>
      </c>
    </row>
    <row r="47" spans="1:21" s="61" customFormat="1" ht="13.8">
      <c r="J47" s="66" t="s">
        <v>128</v>
      </c>
      <c r="K47" s="66">
        <v>2025</v>
      </c>
      <c r="L47" s="67">
        <v>0.1</v>
      </c>
      <c r="M47" s="68"/>
      <c r="N47" s="68">
        <f>-N37*$L47</f>
        <v>0</v>
      </c>
      <c r="O47" s="96"/>
      <c r="P47" s="68"/>
      <c r="Q47" s="68">
        <f>-Q37*$L47</f>
        <v>-26124.07994135101</v>
      </c>
      <c r="R47" s="96"/>
      <c r="S47" s="68"/>
      <c r="T47" s="68">
        <f>-T37*$L47</f>
        <v>0</v>
      </c>
    </row>
    <row r="48" spans="1:21" s="61" customFormat="1" ht="13.8">
      <c r="J48" s="66" t="s">
        <v>128</v>
      </c>
      <c r="K48" s="66">
        <v>2026</v>
      </c>
      <c r="L48" s="67">
        <v>0.1</v>
      </c>
      <c r="M48" s="68"/>
      <c r="N48" s="68">
        <f>-N38*$L48</f>
        <v>0</v>
      </c>
      <c r="O48" s="96"/>
      <c r="P48" s="68"/>
      <c r="Q48" s="68">
        <f>-Q38*$L48</f>
        <v>0</v>
      </c>
      <c r="R48" s="96"/>
      <c r="S48" s="68"/>
      <c r="T48" s="68">
        <f>-T38*$L48</f>
        <v>-26295.645080843242</v>
      </c>
    </row>
    <row r="49" spans="10:21" s="61" customFormat="1" ht="13.8">
      <c r="J49" s="66"/>
      <c r="K49" s="66"/>
      <c r="L49" s="67"/>
      <c r="M49" s="68"/>
      <c r="N49" s="68"/>
      <c r="O49" s="96"/>
      <c r="P49" s="68"/>
      <c r="Q49" s="68"/>
      <c r="R49" s="96"/>
      <c r="S49" s="68"/>
      <c r="T49" s="68"/>
    </row>
    <row r="50" spans="10:21" s="61" customFormat="1" ht="13.8">
      <c r="J50" s="66" t="s">
        <v>137</v>
      </c>
      <c r="K50" s="66">
        <v>2026</v>
      </c>
      <c r="L50" s="67">
        <v>2.0598478783879909E-2</v>
      </c>
      <c r="M50" s="68"/>
      <c r="N50" s="68"/>
      <c r="O50" s="96"/>
      <c r="P50" s="68"/>
      <c r="Q50" s="68"/>
      <c r="R50" s="96"/>
      <c r="S50" s="68"/>
      <c r="T50" s="68">
        <f>-T40*$L50</f>
        <v>-17.900554769385725</v>
      </c>
    </row>
    <row r="51" spans="10:21">
      <c r="J51" s="66" t="s">
        <v>136</v>
      </c>
      <c r="K51" s="66">
        <v>2026</v>
      </c>
      <c r="L51" s="67">
        <v>2.2862237353004744E-2</v>
      </c>
      <c r="M51" s="68"/>
      <c r="N51" s="68"/>
      <c r="O51" s="96"/>
      <c r="P51" s="68"/>
      <c r="Q51" s="68"/>
      <c r="R51" s="96"/>
      <c r="S51" s="68"/>
      <c r="T51" s="68">
        <f>-T41*$L51</f>
        <v>-10.545224011837659</v>
      </c>
      <c r="U51" s="61"/>
    </row>
    <row r="52" spans="10:21"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</row>
    <row r="53" spans="10:21" ht="15" thickBot="1">
      <c r="J53" s="61"/>
      <c r="K53" s="61"/>
      <c r="L53" s="61"/>
      <c r="M53" s="73">
        <f>SUM(M46:M52)</f>
        <v>0</v>
      </c>
      <c r="N53" s="73">
        <f>SUM(N46:N52)</f>
        <v>-12586.844780493058</v>
      </c>
      <c r="O53" s="96"/>
      <c r="P53" s="73">
        <f>SUM(P46:P52)</f>
        <v>0</v>
      </c>
      <c r="Q53" s="73">
        <f>SUM(Q46:Q52)</f>
        <v>-26124.07994135101</v>
      </c>
      <c r="R53" s="96"/>
      <c r="S53" s="73">
        <f>SUM(S46:S52)</f>
        <v>0</v>
      </c>
      <c r="T53" s="73">
        <f>SUM(T46:T52)</f>
        <v>-26324.090859624466</v>
      </c>
    </row>
    <row r="57" spans="10:21">
      <c r="J57" s="61" t="s">
        <v>83</v>
      </c>
      <c r="K57" s="61"/>
      <c r="L57" s="61"/>
      <c r="M57" s="61"/>
      <c r="N57" s="61">
        <f>N43+N53</f>
        <v>113281.60302443751</v>
      </c>
      <c r="O57" s="61"/>
      <c r="P57" s="61"/>
      <c r="Q57" s="61">
        <f>Q43+Q53</f>
        <v>235116.71947215911</v>
      </c>
      <c r="R57" s="61"/>
      <c r="S57" s="61"/>
      <c r="T57" s="61">
        <f>T43+T53</f>
        <v>237962.63383661167</v>
      </c>
    </row>
    <row r="58" spans="10:21">
      <c r="J58" s="61" t="s">
        <v>84</v>
      </c>
      <c r="K58" s="61"/>
      <c r="L58" s="61"/>
      <c r="M58" s="61"/>
      <c r="N58" s="61">
        <f>N62+N57</f>
        <v>113281.60302443751</v>
      </c>
      <c r="O58" s="61"/>
      <c r="P58" s="61"/>
      <c r="Q58" s="61">
        <f>Q62+Q57</f>
        <v>235116.71947215911</v>
      </c>
      <c r="R58" s="61"/>
      <c r="S58" s="61"/>
      <c r="T58" s="61">
        <f>T62+T57</f>
        <v>237962.63383661167</v>
      </c>
    </row>
    <row r="64" spans="10:21"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</row>
  </sheetData>
  <mergeCells count="4">
    <mergeCell ref="A1:I1"/>
    <mergeCell ref="A2:I2"/>
    <mergeCell ref="A3:I3"/>
    <mergeCell ref="A4:I4"/>
  </mergeCells>
  <phoneticPr fontId="1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D844-27D8-47CA-B881-5B6D8CD31F35}">
  <dimension ref="A1:I39"/>
  <sheetViews>
    <sheetView workbookViewId="0">
      <selection activeCell="I15" sqref="I15"/>
    </sheetView>
  </sheetViews>
  <sheetFormatPr defaultRowHeight="14.4"/>
  <cols>
    <col min="1" max="1" width="38" customWidth="1"/>
    <col min="2" max="2" width="11.88671875" bestFit="1" customWidth="1"/>
    <col min="3" max="3" width="2.21875" customWidth="1"/>
    <col min="4" max="4" width="12.33203125" bestFit="1" customWidth="1"/>
    <col min="5" max="5" width="2.21875" customWidth="1"/>
    <col min="6" max="6" width="12.109375" customWidth="1"/>
    <col min="7" max="7" width="2.21875" customWidth="1"/>
  </cols>
  <sheetData>
    <row r="1" spans="1:9">
      <c r="A1" s="121" t="s">
        <v>12</v>
      </c>
      <c r="B1" s="121"/>
      <c r="C1" s="121"/>
      <c r="D1" s="121"/>
      <c r="E1" s="121"/>
      <c r="F1" s="121"/>
      <c r="G1" s="121"/>
      <c r="H1" s="121"/>
      <c r="I1" s="121"/>
    </row>
    <row r="2" spans="1:9">
      <c r="A2" s="121" t="str">
        <f>'Revenue Requirement'!A2</f>
        <v>Clean Energy Transistion Plan Project 1</v>
      </c>
      <c r="B2" s="121"/>
      <c r="C2" s="121"/>
      <c r="D2" s="121"/>
      <c r="E2" s="121"/>
      <c r="F2" s="121"/>
      <c r="G2" s="121"/>
      <c r="H2" s="121"/>
      <c r="I2" s="121"/>
    </row>
    <row r="3" spans="1:9">
      <c r="A3" s="121" t="str">
        <f>'Revenue Requirement'!A3</f>
        <v>Battery Energy Storage Systems</v>
      </c>
      <c r="B3" s="121"/>
      <c r="C3" s="121"/>
      <c r="D3" s="121"/>
      <c r="E3" s="121"/>
      <c r="F3" s="121"/>
      <c r="G3" s="121"/>
      <c r="H3" s="121"/>
      <c r="I3" s="121"/>
    </row>
    <row r="4" spans="1:9">
      <c r="A4" s="121" t="s">
        <v>156</v>
      </c>
      <c r="B4" s="121"/>
      <c r="C4" s="121"/>
      <c r="D4" s="121"/>
      <c r="E4" s="121"/>
      <c r="F4" s="121"/>
      <c r="G4" s="121"/>
      <c r="H4" s="121"/>
      <c r="I4" s="121"/>
    </row>
    <row r="6" spans="1:9">
      <c r="A6" s="74"/>
      <c r="B6" s="75" t="s">
        <v>86</v>
      </c>
      <c r="D6" s="75" t="s">
        <v>86</v>
      </c>
      <c r="F6" s="75" t="s">
        <v>86</v>
      </c>
    </row>
    <row r="7" spans="1:9">
      <c r="A7" s="76"/>
      <c r="B7" s="60" t="s">
        <v>61</v>
      </c>
      <c r="D7" s="60" t="s">
        <v>62</v>
      </c>
      <c r="F7" s="60" t="s">
        <v>63</v>
      </c>
    </row>
    <row r="8" spans="1:9">
      <c r="A8" s="5" t="s">
        <v>87</v>
      </c>
    </row>
    <row r="9" spans="1:9">
      <c r="A9" s="3" t="s">
        <v>88</v>
      </c>
      <c r="B9" s="12">
        <f>'Revenue Requirement'!D39</f>
        <v>22171702.402359515</v>
      </c>
      <c r="D9" s="12">
        <f>'Revenue Requirement'!F39</f>
        <v>46134876.545560032</v>
      </c>
      <c r="F9" s="12">
        <f>'Revenue Requirement'!H39</f>
        <v>46843115.659735143</v>
      </c>
    </row>
    <row r="10" spans="1:9">
      <c r="A10" s="3"/>
      <c r="B10" s="77"/>
      <c r="D10" s="77"/>
      <c r="F10" s="77"/>
    </row>
    <row r="11" spans="1:9">
      <c r="A11" s="3"/>
      <c r="B11" s="78">
        <f>SUM(B9:B10)</f>
        <v>22171702.402359515</v>
      </c>
      <c r="D11" s="78">
        <f>SUM(D9:D10)</f>
        <v>46134876.545560032</v>
      </c>
      <c r="F11" s="78">
        <f t="shared" ref="F11" si="0">SUM(F9:F10)</f>
        <v>46843115.659735143</v>
      </c>
    </row>
    <row r="12" spans="1:9">
      <c r="A12" s="3"/>
    </row>
    <row r="13" spans="1:9">
      <c r="A13" s="3"/>
    </row>
    <row r="14" spans="1:9">
      <c r="A14" s="5" t="s">
        <v>89</v>
      </c>
    </row>
    <row r="15" spans="1:9">
      <c r="A15" s="3" t="s">
        <v>9</v>
      </c>
      <c r="B15" s="12">
        <f>Depreciation!I34+Depreciation!I50</f>
        <v>10776975.536700003</v>
      </c>
      <c r="D15" s="12">
        <f>Depreciation!J34+Depreciation!J50</f>
        <v>22367684.305050001</v>
      </c>
      <c r="F15" s="12">
        <f>Depreciation!K34+Depreciation!K50</f>
        <v>22563291.08961679</v>
      </c>
    </row>
    <row r="16" spans="1:9">
      <c r="A16" s="3" t="s">
        <v>90</v>
      </c>
      <c r="B16" s="12">
        <f>'O&amp;M Expenses'!F27</f>
        <v>450000</v>
      </c>
      <c r="D16" s="12">
        <f>'O&amp;M Expenses'!G27</f>
        <v>1050000</v>
      </c>
      <c r="F16" s="12">
        <f>'O&amp;M Expenses'!H27</f>
        <v>1200000</v>
      </c>
    </row>
    <row r="17" spans="1:6">
      <c r="A17" s="3" t="s">
        <v>14</v>
      </c>
      <c r="B17" s="12">
        <f>(Depreciation!I8+Depreciation!I10+Depreciation!I11+Depreciation!I12+Depreciation!I13+Depreciation!I15)*0.853%</f>
        <v>919276.01328051009</v>
      </c>
      <c r="D17" s="12">
        <f>(Depreciation!J7+Depreciation!J9+Depreciation!J17+SUM(Depreciation!J20:J24))*0.853%</f>
        <v>1907963.4712207648</v>
      </c>
      <c r="F17" s="12">
        <f>(Depreciation!K14+Depreciation!K16+Depreciation!K18+Depreciation!K19)*0.853%</f>
        <v>1920493.6739999999</v>
      </c>
    </row>
    <row r="18" spans="1:6">
      <c r="A18" s="3"/>
      <c r="B18" s="78">
        <f>SUM(B15:B17)</f>
        <v>12146251.549980514</v>
      </c>
      <c r="D18" s="78">
        <f>SUM(D15:D17)</f>
        <v>25325647.776270766</v>
      </c>
      <c r="F18" s="78">
        <f>SUM(F15:F17)</f>
        <v>25683784.763616789</v>
      </c>
    </row>
    <row r="19" spans="1:6">
      <c r="A19" s="3"/>
    </row>
    <row r="20" spans="1:6">
      <c r="A20" s="3"/>
      <c r="B20" s="79"/>
      <c r="D20" s="79"/>
      <c r="F20" s="79"/>
    </row>
    <row r="21" spans="1:6">
      <c r="A21" s="5" t="s">
        <v>13</v>
      </c>
      <c r="B21" s="12"/>
      <c r="D21" s="12"/>
      <c r="F21" s="12"/>
    </row>
    <row r="22" spans="1:6">
      <c r="A22" s="3" t="s">
        <v>91</v>
      </c>
      <c r="B22" s="12">
        <f>Taxes!B26</f>
        <v>46369.630840290003</v>
      </c>
      <c r="D22" s="12">
        <f>Taxes!D26</f>
        <v>96253.8661676427</v>
      </c>
      <c r="F22" s="12">
        <f>Taxes!F26</f>
        <v>97799.030232351477</v>
      </c>
    </row>
    <row r="23" spans="1:6">
      <c r="A23" s="3" t="s">
        <v>92</v>
      </c>
      <c r="B23" s="12">
        <f>Taxes!B36</f>
        <v>0</v>
      </c>
      <c r="D23" s="12">
        <f>Taxes!D36</f>
        <v>0</v>
      </c>
      <c r="F23" s="12">
        <f>Taxes!F40</f>
        <v>1522.7166243586171</v>
      </c>
    </row>
    <row r="24" spans="1:6">
      <c r="A24" s="3" t="s">
        <v>93</v>
      </c>
      <c r="B24" s="12">
        <v>0</v>
      </c>
      <c r="D24" s="12">
        <v>0</v>
      </c>
      <c r="F24" s="12">
        <v>0</v>
      </c>
    </row>
    <row r="25" spans="1:6">
      <c r="A25" s="3" t="s">
        <v>67</v>
      </c>
      <c r="B25" s="12">
        <f>Taxes!N57</f>
        <v>113281.60302443751</v>
      </c>
      <c r="D25" s="12">
        <f>Taxes!Q57</f>
        <v>235116.71947215911</v>
      </c>
      <c r="F25" s="12">
        <f>Taxes!T57</f>
        <v>237962.63383661167</v>
      </c>
    </row>
    <row r="26" spans="1:6">
      <c r="A26" s="3"/>
      <c r="B26" s="80">
        <f>SUM(B22:B25)</f>
        <v>159651.23386472752</v>
      </c>
      <c r="D26" s="80">
        <f>SUM(D22:D25)</f>
        <v>331370.58563980181</v>
      </c>
      <c r="F26" s="80">
        <f t="shared" ref="F26" si="1">SUM(F22:F25)</f>
        <v>337284.38069332176</v>
      </c>
    </row>
    <row r="27" spans="1:6">
      <c r="A27" s="3"/>
    </row>
    <row r="28" spans="1:6" ht="15" thickBot="1">
      <c r="A28" s="5" t="s">
        <v>94</v>
      </c>
      <c r="B28" s="81">
        <f t="shared" ref="B28" si="2">B26+B18</f>
        <v>12305902.783845242</v>
      </c>
      <c r="D28" s="81">
        <f t="shared" ref="D28:F28" si="3">D26+D18</f>
        <v>25657018.361910567</v>
      </c>
      <c r="F28" s="81">
        <f t="shared" si="3"/>
        <v>26021069.144310109</v>
      </c>
    </row>
    <row r="29" spans="1:6">
      <c r="A29" s="3"/>
    </row>
    <row r="31" spans="1:6">
      <c r="A31" s="3" t="s">
        <v>95</v>
      </c>
      <c r="B31" s="82">
        <f>B11-B18-B26</f>
        <v>9865799.6185142733</v>
      </c>
      <c r="D31" s="82">
        <f>D11-D18-D26</f>
        <v>20477858.183649465</v>
      </c>
      <c r="F31" s="82">
        <f>F11-F18-F26</f>
        <v>20822046.515425034</v>
      </c>
    </row>
    <row r="33" spans="1:6">
      <c r="A33" s="3" t="s">
        <v>96</v>
      </c>
      <c r="B33" s="12"/>
      <c r="D33" s="12"/>
      <c r="F33" s="12"/>
    </row>
    <row r="34" spans="1:6">
      <c r="A34" s="3"/>
      <c r="B34" s="12"/>
      <c r="D34" s="12"/>
      <c r="F34" s="12"/>
    </row>
    <row r="35" spans="1:6" ht="15" thickBot="1">
      <c r="A35" s="5" t="s">
        <v>97</v>
      </c>
      <c r="B35" s="83">
        <f t="shared" ref="B35" si="4">B31-B33</f>
        <v>9865799.6185142733</v>
      </c>
      <c r="D35" s="83">
        <f t="shared" ref="D35:F35" si="5">D31-D33</f>
        <v>20477858.183649465</v>
      </c>
      <c r="F35" s="83">
        <f t="shared" si="5"/>
        <v>20822046.515425034</v>
      </c>
    </row>
    <row r="36" spans="1:6" ht="15" thickTop="1"/>
    <row r="39" spans="1:6">
      <c r="A39" s="3"/>
      <c r="B39" s="12"/>
      <c r="D39" s="12"/>
      <c r="F39" s="12"/>
    </row>
  </sheetData>
  <mergeCells count="4">
    <mergeCell ref="A1:I1"/>
    <mergeCell ref="A2:I2"/>
    <mergeCell ref="A3:I3"/>
    <mergeCell ref="A4:I4"/>
  </mergeCells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Revenue Requirement</vt:lpstr>
      <vt:lpstr>Cost of Capital</vt:lpstr>
      <vt:lpstr>Resources</vt:lpstr>
      <vt:lpstr>Depreciation</vt:lpstr>
      <vt:lpstr>O&amp;M Expenses</vt:lpstr>
      <vt:lpstr>Taxes</vt:lpstr>
      <vt:lpstr>Income Statement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2023-07-12T20:05:39Z</dcterms:created>
  <dcterms:modified xsi:type="dcterms:W3CDTF">2023-10-04T18:02:44Z</dcterms:modified>
</cp:coreProperties>
</file>